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Iro_0ebx\1_Data\Interne_Werking\Annual_and_interim_reports\2018\2Q2018\4 quarterly report\"/>
    </mc:Choice>
  </mc:AlternateContent>
  <xr:revisionPtr revIDLastSave="0" documentId="10_ncr:100000_{CA052930-E7F2-43FD-8183-BBD34084B82C}" xr6:coauthVersionLast="31" xr6:coauthVersionMax="31" xr10:uidLastSave="{00000000-0000-0000-0000-000000000000}"/>
  <bookViews>
    <workbookView xWindow="-12" yWindow="48" windowWidth="12600" windowHeight="7716" tabRatio="880" firstSheet="3" activeTab="4" xr2:uid="{00000000-000D-0000-FFFF-FFFF00000000}"/>
  </bookViews>
  <sheets>
    <sheet name="Read Me AppMgt" sheetId="22" state="hidden" r:id="rId1"/>
    <sheet name="Parameters" sheetId="59" state="hidden" r:id="rId2"/>
    <sheet name="LocalLists" sheetId="60" state="hidden" r:id="rId3"/>
    <sheet name="KBC Group_PL" sheetId="96" r:id="rId4"/>
    <sheet name="BU BELGIUM" sheetId="98" r:id="rId5"/>
    <sheet name="BU CZECH REPUBLIC" sheetId="99" r:id="rId6"/>
    <sheet name="BU INTERNATIONAL MARKETS" sheetId="100" r:id="rId7"/>
    <sheet name="HUNGARY" sheetId="101" r:id="rId8"/>
    <sheet name="SLOVAKIA" sheetId="102" r:id="rId9"/>
    <sheet name="BULGARIA" sheetId="103" r:id="rId10"/>
    <sheet name="IRELAND" sheetId="104" r:id="rId11"/>
    <sheet name="GROUP CENTRE" sheetId="105" r:id="rId12"/>
    <sheet name="RISK Management" sheetId="95" r:id="rId13"/>
    <sheet name="Sheet1" sheetId="72" state="hidden" r:id="rId14"/>
  </sheets>
  <externalReferences>
    <externalReference r:id="rId15"/>
    <externalReference r:id="rId16"/>
    <externalReference r:id="rId17"/>
  </externalReferences>
  <definedNames>
    <definedName name="Account_I">Parameters!$A$30</definedName>
    <definedName name="Account_P">Parameters!$F$30</definedName>
    <definedName name="Account_T">Parameters!$E$30</definedName>
    <definedName name="AccountExt_V">Parameters!$D$30</definedName>
    <definedName name="Actualities_LocalList">OFFSET(LocalLists!$L$1,1,0,COUNTA(LocalLists!$L:$L)-1,1)</definedName>
    <definedName name="Actuality_APC_P">Parameters!$G$31</definedName>
    <definedName name="Actuality_I">Parameters!$A$31</definedName>
    <definedName name="Actuality_P">Parameters!$F$31</definedName>
    <definedName name="Actuality_T">Parameters!$E$31</definedName>
    <definedName name="ActualityExt_V">Parameters!$D$31</definedName>
    <definedName name="ActualityPrev_P">Parameters!$N$31</definedName>
    <definedName name="APC_Cube_P">Parameters!$N$14</definedName>
    <definedName name="APC_IT_Actual_P">[1]Parameters!$F$70</definedName>
    <definedName name="APC_Server_P">Parameters!$N$3</definedName>
    <definedName name="attribname_p">Parameters!$F$39</definedName>
    <definedName name="BalansEntity">Parameters!$X$1:$Y$4</definedName>
    <definedName name="BaseCube_I">Parameters!$A$14</definedName>
    <definedName name="BaseCube_P">Parameters!$F$14</definedName>
    <definedName name="BaseCube_T">Parameters!$E$14</definedName>
    <definedName name="BaseCubeExt_P">Parameters!$D$14</definedName>
    <definedName name="BuSelection">Parameters!$Q$1:$S$13</definedName>
    <definedName name="Choice_P">Parameters!$F$43</definedName>
    <definedName name="ClosingVersion_I">Parameters!$A$28</definedName>
    <definedName name="ClosingVersion_P">Parameters!$F$28</definedName>
    <definedName name="ClosingVersion_T">Parameters!$E$28</definedName>
    <definedName name="ClosingVersionExt_V">Parameters!$D$28</definedName>
    <definedName name="ClosingVersions_LocalList">OFFSET(LocalLists!$J$1,1,0,COUNTA(LocalLists!$J:$J)-1,1)</definedName>
    <definedName name="CompaniesC1_LocalList">OFFSET(LocalLists!$P$1,1,0,COUNTA(LocalLists!$P:$P)-1,1)</definedName>
    <definedName name="CompaniesC2_LocalList">OFFSET(LocalLists!$Q$1,1,0,COUNTA(LocalLists!$Q:$Q)-1,1)</definedName>
    <definedName name="CompaniesCB_LocalList">OFFSET(LocalLists!$S$1,1,0,COUNTA(LocalLists!$S:$S)-1,1)</definedName>
    <definedName name="CompaniesCL_LocalList">OFFSET(LocalLists!$R$1,1,0,COUNTA(LocalLists!$R:$R)-1,1)</definedName>
    <definedName name="CompaniesPeriodDependent_LocalList">OFFSET(LocalLists!$F$1,1,0,COUNTA(LocalLists!$F:$F)-1,1)</definedName>
    <definedName name="Company_I">Parameters!$A$32</definedName>
    <definedName name="Company_P">Parameters!$F$32</definedName>
    <definedName name="Company_T">Parameters!$E$32</definedName>
    <definedName name="CompanyExt_V">Parameters!$D$32</definedName>
    <definedName name="CompanyGrouping_I">Parameters!$A$18</definedName>
    <definedName name="CompanyGrouping_P">Parameters!$F$18</definedName>
    <definedName name="CompanyGrouping_T">Parameters!$E$18</definedName>
    <definedName name="CompanyGroupingExt_V">Parameters!$D$18</definedName>
    <definedName name="CompanyGroupingsPeriodDependent_LocalList">OFFSET(LocalLists!$G$1,1,0,COUNTA(LocalLists!$G:$G)-1,1)</definedName>
    <definedName name="CompanyName_P">Parameters!$F$6</definedName>
    <definedName name="CompanyName_T">Parameters!$E$6</definedName>
    <definedName name="CompanySelection">Parameters!$O$1:$P$3</definedName>
    <definedName name="CompGroup_GRS">Parameters!$AO$2:$AP$7</definedName>
    <definedName name="ConsolidationPerspective_I">Parameters!$A$27</definedName>
    <definedName name="ConsolidationPerspective_P">Parameters!$F$27</definedName>
    <definedName name="ConsolidationPerspective_T">Parameters!$E$27</definedName>
    <definedName name="ConsolidationPerspectiveExt_V">Parameters!$D$27</definedName>
    <definedName name="ConsoPerspectives_LocalList">OFFSET(LocalLists!$A$9,1,0,COUNTA(LocalLists!$I:$I)-1,0)</definedName>
    <definedName name="ContributionVersion_I">Parameters!$A$29</definedName>
    <definedName name="ContributionVersion_P">Parameters!$F$29</definedName>
    <definedName name="ContributionVersion_T">Parameters!$E$29</definedName>
    <definedName name="ContributionVersionExt_V">Parameters!$D$29</definedName>
    <definedName name="CounterCompany_I">Parameters!$A$35</definedName>
    <definedName name="CounterCompany_P">Parameters!$F$35</definedName>
    <definedName name="CounterCompany_T">Parameters!$E$35</definedName>
    <definedName name="CounterCompanyExt_V">Parameters!$D$35</definedName>
    <definedName name="CounterDimension_I">Parameters!$A$21</definedName>
    <definedName name="CounterDimension_P">Parameters!$F$21</definedName>
    <definedName name="CounterDimension_T">Parameters!$E$21</definedName>
    <definedName name="CounterDimensionExt_V">Parameters!$D$21</definedName>
    <definedName name="CP">OFFSET(LocalLists!$I$1,1,0,COUNTA(LocalLists!$I:$I)-1,1)</definedName>
    <definedName name="Cube_P">Parameters!$N$4</definedName>
    <definedName name="CubeAct_P">Parameters!$F$64</definedName>
    <definedName name="CubePrev_P">Parameters!$N$64</definedName>
    <definedName name="Currencies_UserForm_List">Parameters!$B$2:$B$3</definedName>
    <definedName name="Currency_I">Parameters!$A$44</definedName>
    <definedName name="Currency_P">Parameters!$F$25</definedName>
    <definedName name="Currency_T">Parameters!$E$44</definedName>
    <definedName name="CurrencyAndUnit_I">Parameters!$A$10</definedName>
    <definedName name="CurrencyAndUnit_P">Parameters!$F$10</definedName>
    <definedName name="CurrencyAndUnit_T">Parameters!$E$10</definedName>
    <definedName name="CurrencyExt_V">Parameters!$D$44</definedName>
    <definedName name="CurrencyInput_P">Parameters!$F$44</definedName>
    <definedName name="Dim1_I">Parameters!$A$20</definedName>
    <definedName name="Dim1_P">Parameters!$F$20</definedName>
    <definedName name="Dim1_T">Parameters!$E$20</definedName>
    <definedName name="Dim1Ext_V">Parameters!$D$20</definedName>
    <definedName name="Dim2_I">Parameters!$A$22</definedName>
    <definedName name="Dim2_P">Parameters!$F$22</definedName>
    <definedName name="Dim2_T">Parameters!$E$22</definedName>
    <definedName name="Dim2Ext_V">Parameters!$D$22</definedName>
    <definedName name="Dim3_GEO_LocalList">OFFSET(LocalLists!$H$1,1,0,COUNTA(LocalLists!$H:$H)-1,1)</definedName>
    <definedName name="Dim3_I">Parameters!$A$23</definedName>
    <definedName name="Dim3_P">Parameters!$F$23</definedName>
    <definedName name="Dim3_T">Parameters!$E$23</definedName>
    <definedName name="Dim3Ext_V">Parameters!$D$23</definedName>
    <definedName name="Dim4_I">Parameters!$A$24</definedName>
    <definedName name="Dim4_P">Parameters!$F$24</definedName>
    <definedName name="Dim4_T">Parameters!$E$24</definedName>
    <definedName name="Dim4Ext_V">Parameters!$D$24</definedName>
    <definedName name="EntitySelection">Parameters!$D$48:$M$51</definedName>
    <definedName name="Filler1_I">Parameters!$A$15</definedName>
    <definedName name="Filler1_P">Parameters!$F$15</definedName>
    <definedName name="Filler1_T">Parameters!$E$15</definedName>
    <definedName name="Filler1Ext_V">Parameters!$D$15</definedName>
    <definedName name="Filler2_I">Parameters!$A$16</definedName>
    <definedName name="Filler2_P">Parameters!$F$16</definedName>
    <definedName name="Filler2_T">Parameters!$E$16</definedName>
    <definedName name="Filler2Ext_V">Parameters!$D$16</definedName>
    <definedName name="Filler3_I">Parameters!$A$17</definedName>
    <definedName name="Filler3_P">Parameters!$F$17</definedName>
    <definedName name="Filler3_T">Parameters!$E$17</definedName>
    <definedName name="Filler3Ext_V">Parameters!$D$17</definedName>
    <definedName name="Forms_List">OFFSET(LocalLists!$U$1,1,0,COUNTA(LocalLists!$U:$U)-1,1)</definedName>
    <definedName name="FrozenCubeInd_I">Parameters!$A$4</definedName>
    <definedName name="FrozenCubeInd_P">Parameters!$F$4</definedName>
    <definedName name="FrozenCubeInd_T">Parameters!$E$4</definedName>
    <definedName name="JournalNumber_I">Parameters!$A$36</definedName>
    <definedName name="JournalNumber_P">Parameters!$F$36</definedName>
    <definedName name="JournalNumber_T">Parameters!$E$36</definedName>
    <definedName name="JournalNumberExt_V">Parameters!$D$36</definedName>
    <definedName name="LijstUnderlying">Parameters!$AB$2:$AB$19</definedName>
    <definedName name="LocalCurrency_P">Parameters!$F$7</definedName>
    <definedName name="LocalCurrency_T">Parameters!$E$7</definedName>
    <definedName name="Measure_I">Parameters!$A$37</definedName>
    <definedName name="Measure_P">Parameters!$F$37</definedName>
    <definedName name="Measure_T">Parameters!$E$37</definedName>
    <definedName name="MeasureExt_V">Parameters!$D$37</definedName>
    <definedName name="Measures_List">OFFSET(LocalLists!$B$1,1,0,COUNTA(LocalLists!$B:$B)-1,1)</definedName>
    <definedName name="OriginCompany_I">Parameters!$A$34</definedName>
    <definedName name="OriginCompany_P">Parameters!$F$34</definedName>
    <definedName name="OriginCompany_T">Parameters!$E$34</definedName>
    <definedName name="OriginCompanyExt_V">Parameters!$D$34</definedName>
    <definedName name="Period_P">Parameters!$F$69</definedName>
    <definedName name="PeriodDD_I">Parameters!$A$11</definedName>
    <definedName name="PeriodDD_P">Parameters!$F$11</definedName>
    <definedName name="Periods_LocalList">OFFSET(LocalLists!$M$1,1,0,COUNTA(LocalLists!$M:$M)-1,1)</definedName>
    <definedName name="PeriodScope_I">Parameters!$A$8</definedName>
    <definedName name="PeriodScope_P">Parameters!$F$8</definedName>
    <definedName name="PeriodScope_T">Parameters!$E$8</definedName>
    <definedName name="PeriodScopes_List">OFFSET(LocalLists!$A$1,1,0,COUNTA(LocalLists!$A:$A)-1,1)</definedName>
    <definedName name="QESRun_P">Parameters!$F$58</definedName>
    <definedName name="QESRunInput_P">Parameters!$F$57</definedName>
    <definedName name="QESRunPrev_P">Parameters!$N$58</definedName>
    <definedName name="QESRunPrevInput_P">Parameters!$N$57</definedName>
    <definedName name="Quarter_P">Parameters!$F$60</definedName>
    <definedName name="QuarterPrev_P">Parameters!$N$60</definedName>
    <definedName name="ReportVersion_P">Parameters!$F$1</definedName>
    <definedName name="ReportVersion_V">"A1"</definedName>
    <definedName name="ROFactuality_P">[2]Parameters!$F$68</definedName>
    <definedName name="scenario">Parameters!$Q$16:$R$27</definedName>
    <definedName name="Server_I">Parameters!$A$3</definedName>
    <definedName name="Server_P">Parameters!$F$3</definedName>
    <definedName name="Server_T">Parameters!$E$3</definedName>
    <definedName name="ServerCube">Parameters!$AH$1:$AI$9</definedName>
    <definedName name="SheetsWithHiddenAnchor_List">OFFSET(LocalLists!$O$1,1,0,COUNTA(LocalLists!$O:$O)-1,1)</definedName>
    <definedName name="SubgroupSelection">Parameters!$T$1:$V$10</definedName>
    <definedName name="TM1User_P">Parameters!$F$2</definedName>
    <definedName name="TobecopiedSheets_List">OFFSET(LocalLists!$N$1,1,0,COUNTA(LocalLists!$N:$N)-1,1)</definedName>
    <definedName name="TobecopiedSheets_LocalList">OFFSET([3]LocalLists!$N$1,1,0,COUNTA([3]LocalLists!$N:$N)-1,1)</definedName>
    <definedName name="TransactionCurrency_I">Parameters!$A$26</definedName>
    <definedName name="TransactionCurrency_P">Parameters!$F$26</definedName>
    <definedName name="TransactionCurrency_T">Parameters!$E$26</definedName>
    <definedName name="TransactionCurrencyExt_V">Parameters!$D$26</definedName>
    <definedName name="TrueFalse_List">LocalLists!$E$2:$E$3</definedName>
    <definedName name="UnitNumber_I">Parameters!$A$9</definedName>
    <definedName name="UnitNumber_P">Parameters!$F$9</definedName>
    <definedName name="UnitNumber_T">Parameters!$E$9</definedName>
    <definedName name="UnitsNumber_List">OFFSET(LocalLists!$D$1,1,0,COUNTA(LocalLists!$D:$D)-1,1)</definedName>
    <definedName name="UnitsNumber_LocalList">OFFSET([3]LocalLists!$D$1,1,0,COUNTA([3]LocalLists!$D:$D)-1,1)</definedName>
    <definedName name="UnitsText_List">OFFSET(LocalLists!$C$1,1,0,COUNTA(LocalLists!$C:$C)-1,1)</definedName>
    <definedName name="UnitsText_LocalList">OFFSET([3]LocalLists!$C$1,1,0,COUNTA([3]LocalLists!$C:$C)-1,1)</definedName>
    <definedName name="UnitText_I">Parameters!$A$45</definedName>
    <definedName name="UnitText_P">Parameters!$F$45</definedName>
    <definedName name="UnitText_T">Parameters!$E$45</definedName>
    <definedName name="Version_P">Parameters!$F$62</definedName>
    <definedName name="VersionPrev_P">Parameters!$N$62</definedName>
  </definedNames>
  <calcPr calcId="152511" calcMode="manual" calcCompleted="0" calcOnSave="0" concurrentCalc="0"/>
  <fileRecoveryPr autoRecover="0"/>
</workbook>
</file>

<file path=xl/calcChain.xml><?xml version="1.0" encoding="utf-8"?>
<calcChain xmlns="http://schemas.openxmlformats.org/spreadsheetml/2006/main">
  <c r="F43" i="105" l="1"/>
  <c r="K43" i="105"/>
  <c r="F25" i="59"/>
  <c r="L50" i="59"/>
  <c r="F14" i="59"/>
  <c r="F58" i="59"/>
  <c r="F31" i="59"/>
  <c r="D48" i="59"/>
  <c r="D49" i="59"/>
  <c r="D50" i="59"/>
  <c r="F9" i="59"/>
  <c r="D30" i="59"/>
  <c r="N64" i="59"/>
  <c r="F64" i="59"/>
  <c r="N58" i="59"/>
  <c r="D18" i="59"/>
  <c r="F18" i="59"/>
  <c r="L48" i="59"/>
  <c r="M49" i="59"/>
  <c r="L49" i="59"/>
  <c r="D51" i="59"/>
  <c r="M51" i="59"/>
  <c r="H51" i="59"/>
  <c r="G51" i="59"/>
  <c r="M50" i="59"/>
  <c r="H50" i="59"/>
  <c r="H49" i="59"/>
  <c r="H48" i="59"/>
  <c r="D23" i="59"/>
  <c r="F10" i="59"/>
  <c r="D32" i="59"/>
  <c r="D22" i="59"/>
  <c r="D24" i="59"/>
  <c r="N28" i="59"/>
  <c r="D28" i="59"/>
  <c r="D37" i="59"/>
  <c r="D44" i="59"/>
  <c r="A37" i="59"/>
  <c r="D36" i="59"/>
  <c r="D35" i="59"/>
  <c r="D34" i="59"/>
  <c r="D31" i="59"/>
  <c r="D29" i="59"/>
  <c r="D27" i="59"/>
  <c r="D26" i="59"/>
  <c r="D21" i="59"/>
  <c r="D20" i="59"/>
  <c r="D17" i="59"/>
  <c r="D16" i="59"/>
  <c r="D15" i="59"/>
  <c r="D14" i="59"/>
  <c r="A14" i="59"/>
  <c r="A11" i="59"/>
  <c r="A10" i="59"/>
  <c r="N9" i="59"/>
  <c r="A9" i="59"/>
  <c r="F11" i="59"/>
  <c r="F20" i="59"/>
  <c r="F22" i="59"/>
  <c r="F27" i="59"/>
  <c r="F35" i="59"/>
  <c r="G50" i="59"/>
  <c r="G48" i="59"/>
  <c r="H3" i="60"/>
  <c r="A7" i="59"/>
  <c r="H4" i="60"/>
  <c r="H9" i="60"/>
  <c r="F28" i="59"/>
  <c r="F48" i="59"/>
  <c r="F37" i="59"/>
  <c r="A6" i="59"/>
  <c r="F24" i="59"/>
  <c r="F36" i="59"/>
  <c r="H6" i="60"/>
  <c r="H7" i="60"/>
  <c r="H5" i="60"/>
  <c r="F30" i="59"/>
  <c r="F26" i="59"/>
  <c r="F34" i="59"/>
  <c r="H8" i="60"/>
  <c r="B2" i="60"/>
  <c r="F7" i="59"/>
  <c r="F29" i="59"/>
  <c r="G18" i="59"/>
  <c r="G49" i="59"/>
  <c r="F6" i="59"/>
  <c r="F2" i="59"/>
  <c r="B3" i="59"/>
  <c r="M48" i="59"/>
</calcChain>
</file>

<file path=xl/sharedStrings.xml><?xml version="1.0" encoding="utf-8"?>
<sst xmlns="http://schemas.openxmlformats.org/spreadsheetml/2006/main" count="1323" uniqueCount="644">
  <si>
    <t>Account</t>
  </si>
  <si>
    <t>Currency</t>
  </si>
  <si>
    <t>Closing Version</t>
  </si>
  <si>
    <t>Contribution Version</t>
  </si>
  <si>
    <t>Actuality</t>
  </si>
  <si>
    <t>Company</t>
  </si>
  <si>
    <t>Thousands</t>
  </si>
  <si>
    <t>Unit</t>
  </si>
  <si>
    <t>CT C1</t>
  </si>
  <si>
    <t>CT CL</t>
  </si>
  <si>
    <t>Base Cube</t>
  </si>
  <si>
    <t>Development Information</t>
  </si>
  <si>
    <t>Version Nr</t>
  </si>
  <si>
    <t>Version Date</t>
  </si>
  <si>
    <t>Developer</t>
  </si>
  <si>
    <t>Dim 2</t>
  </si>
  <si>
    <t>Dim 3</t>
  </si>
  <si>
    <t>Dim 4</t>
  </si>
  <si>
    <t>Q</t>
  </si>
  <si>
    <t>Used Value ( _P )</t>
  </si>
  <si>
    <t>Company Grouping</t>
  </si>
  <si>
    <t>Dim1</t>
  </si>
  <si>
    <t>Measure</t>
  </si>
  <si>
    <t>Filler 1</t>
  </si>
  <si>
    <t>Filler 2</t>
  </si>
  <si>
    <t>Filler 3</t>
  </si>
  <si>
    <t>Counter Dimension</t>
  </si>
  <si>
    <t>Transaction Currency</t>
  </si>
  <si>
    <t>Consolidation Perspective</t>
  </si>
  <si>
    <t>Origin Company</t>
  </si>
  <si>
    <t>Counter Company</t>
  </si>
  <si>
    <t>Journal Number</t>
  </si>
  <si>
    <t>Currency and Units</t>
  </si>
  <si>
    <t>CT CB</t>
  </si>
  <si>
    <t>M</t>
  </si>
  <si>
    <t>Y</t>
  </si>
  <si>
    <t>Frozen Cube Indicator</t>
  </si>
  <si>
    <t>Period Scope</t>
  </si>
  <si>
    <t>Server</t>
  </si>
  <si>
    <t>HiddenAnchor</t>
  </si>
  <si>
    <t>P1 Bank</t>
  </si>
  <si>
    <t>P1 Insurance</t>
  </si>
  <si>
    <t>CL KBL</t>
  </si>
  <si>
    <t>Period in DD format</t>
  </si>
  <si>
    <t>Units</t>
  </si>
  <si>
    <t>Millions</t>
  </si>
  <si>
    <t>PeriodScopes_List</t>
  </si>
  <si>
    <t>UnitsText_List</t>
  </si>
  <si>
    <t>UnitsNumber_List</t>
  </si>
  <si>
    <t>TobecopiedSheets_List
(REVERSE order)</t>
  </si>
  <si>
    <t>201204</t>
  </si>
  <si>
    <t>AC</t>
  </si>
  <si>
    <t>201203</t>
  </si>
  <si>
    <t>201202</t>
  </si>
  <si>
    <t>201201</t>
  </si>
  <si>
    <t>201112</t>
  </si>
  <si>
    <t>201111</t>
  </si>
  <si>
    <t>201110</t>
  </si>
  <si>
    <t>201109</t>
  </si>
  <si>
    <t>201108</t>
  </si>
  <si>
    <t>201107</t>
  </si>
  <si>
    <t>201106</t>
  </si>
  <si>
    <t>201105</t>
  </si>
  <si>
    <t>201104</t>
  </si>
  <si>
    <t>201103</t>
  </si>
  <si>
    <t>201102</t>
  </si>
  <si>
    <t>201101</t>
  </si>
  <si>
    <t>201012</t>
  </si>
  <si>
    <t>Input Value (_I )</t>
  </si>
  <si>
    <t>EUR</t>
  </si>
  <si>
    <t>CL GHQ1</t>
  </si>
  <si>
    <t>CO LEGL</t>
  </si>
  <si>
    <t>TM1 Name (with server)  (_ExtV)</t>
  </si>
  <si>
    <t>Name Used in Titles</t>
  </si>
  <si>
    <t>Company Name</t>
  </si>
  <si>
    <t>Local Currency</t>
  </si>
  <si>
    <t>Measures_List</t>
  </si>
  <si>
    <t>SheetsWithHiddenAnchor_List</t>
  </si>
  <si>
    <t>GEO Total</t>
  </si>
  <si>
    <t>CO BASE</t>
  </si>
  <si>
    <t>CL GHQ2</t>
  </si>
  <si>
    <t>CL GHQL</t>
  </si>
  <si>
    <t>CT C2</t>
  </si>
  <si>
    <t>CL GSUL</t>
  </si>
  <si>
    <t>CL GSU1</t>
  </si>
  <si>
    <t>CL GSU2</t>
  </si>
  <si>
    <t>CL REPO</t>
  </si>
  <si>
    <t>Total_P060_CompanyGrouping</t>
  </si>
  <si>
    <t>Total_P060_Dimension 1</t>
  </si>
  <si>
    <t>Total_P060_Counter Dimension</t>
  </si>
  <si>
    <t>Total_P060_Dimension 2</t>
  </si>
  <si>
    <t>Total_P060_Dimension 3</t>
  </si>
  <si>
    <t>Total_P060_Dimension 4</t>
  </si>
  <si>
    <t>Total_P060_Transaction Currency</t>
  </si>
  <si>
    <t>Total_P060_Account</t>
  </si>
  <si>
    <t>Total_P060_Origin Company</t>
  </si>
  <si>
    <t>Total_P060_Counter Company</t>
  </si>
  <si>
    <t>Total_P060_Journal Number</t>
  </si>
  <si>
    <t>Not Applicable</t>
  </si>
  <si>
    <t>FAP2</t>
  </si>
  <si>
    <t>Parameters</t>
  </si>
  <si>
    <t>0001</t>
  </si>
  <si>
    <t>KBC - GRS Team</t>
  </si>
  <si>
    <t>Currencies_UserForm_List</t>
  </si>
  <si>
    <t>Report Version</t>
  </si>
  <si>
    <t>Version 2.1</t>
  </si>
  <si>
    <t>&lt;==  Hardcoded  EUR</t>
  </si>
  <si>
    <t xml:space="preserve">TM1 User </t>
  </si>
  <si>
    <t>TrueFalse_List</t>
  </si>
  <si>
    <t>CompaniesPeriodDependent_LocalList</t>
  </si>
  <si>
    <t>CompanyGroupingsPeriodDependent_LocalList</t>
  </si>
  <si>
    <t>Dim3_GEO_LocalList</t>
  </si>
  <si>
    <t>ClosingVersions_LocalList</t>
  </si>
  <si>
    <t>ContributionVersions_LocalList</t>
  </si>
  <si>
    <t>Actualities_LocalList</t>
  </si>
  <si>
    <t>Periods_LocalList</t>
  </si>
  <si>
    <t>201208</t>
  </si>
  <si>
    <t>Transaction YTD</t>
  </si>
  <si>
    <t>ADB</t>
  </si>
  <si>
    <t>201207</t>
  </si>
  <si>
    <t>Monthly</t>
  </si>
  <si>
    <t>AM</t>
  </si>
  <si>
    <t>201206</t>
  </si>
  <si>
    <t>BANK</t>
  </si>
  <si>
    <t>201205</t>
  </si>
  <si>
    <t>CSOB</t>
  </si>
  <si>
    <t>CSOS</t>
  </si>
  <si>
    <t>DZI</t>
  </si>
  <si>
    <t>FP</t>
  </si>
  <si>
    <t>INSU</t>
  </si>
  <si>
    <t>LEAS</t>
  </si>
  <si>
    <t>KB</t>
  </si>
  <si>
    <t>KBL</t>
  </si>
  <si>
    <t>SEC</t>
  </si>
  <si>
    <t>TEC</t>
  </si>
  <si>
    <t>WART</t>
  </si>
  <si>
    <t>Template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</si>
  <si>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</si>
  <si>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</si>
  <si>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</si>
  <si>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</si>
  <si>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</si>
  <si>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</si>
  <si>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</si>
  <si>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</si>
  <si>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</si>
  <si>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</si>
  <si>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</si>
  <si>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</si>
  <si>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</si>
  <si>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</si>
  <si>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</si>
  <si>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</si>
  <si>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P1 Holding</t>
  </si>
  <si>
    <t>P1 Dummy</t>
  </si>
  <si>
    <t>CL Antwerpse Diamantbank</t>
  </si>
  <si>
    <t>CL Asset Management</t>
  </si>
  <si>
    <t>CL CSOB CZ</t>
  </si>
  <si>
    <t>CL CSOB SR</t>
  </si>
  <si>
    <t>CL DZI</t>
  </si>
  <si>
    <t>CL Financial Products</t>
  </si>
  <si>
    <t>CL Kredyt Bank</t>
  </si>
  <si>
    <t>CL Lease</t>
  </si>
  <si>
    <t>CL Securities</t>
  </si>
  <si>
    <t>CL Warta</t>
  </si>
  <si>
    <t>CB-BEL</t>
  </si>
  <si>
    <t>CB-CEE</t>
  </si>
  <si>
    <t>CB-GRP</t>
  </si>
  <si>
    <t>CB-MEB</t>
  </si>
  <si>
    <t>CB-BEL Banking</t>
  </si>
  <si>
    <t>CB-CEE Banking</t>
  </si>
  <si>
    <t>CB-GRP Banking</t>
  </si>
  <si>
    <t>CB-MEB Banking</t>
  </si>
  <si>
    <t>CB-BEL Insurance</t>
  </si>
  <si>
    <t>CB-CEE Insurance</t>
  </si>
  <si>
    <t>CB-GRP Insurance</t>
  </si>
  <si>
    <t>CB-MEB Insurance</t>
  </si>
  <si>
    <t>CB-BUL</t>
  </si>
  <si>
    <t>CB-BDI</t>
  </si>
  <si>
    <t>CB-CCR</t>
  </si>
  <si>
    <t>CB-CDI</t>
  </si>
  <si>
    <t>CB-CEO</t>
  </si>
  <si>
    <t>CB-COB</t>
  </si>
  <si>
    <t>CB-CSR</t>
  </si>
  <si>
    <t>CB-CZR</t>
  </si>
  <si>
    <t>CB-DIV</t>
  </si>
  <si>
    <t>CB-DZI</t>
  </si>
  <si>
    <t>CB-EDI</t>
  </si>
  <si>
    <t>CB-FIN</t>
  </si>
  <si>
    <t>CB-FPR</t>
  </si>
  <si>
    <t>CB-GRI</t>
  </si>
  <si>
    <t>CB-HUN</t>
  </si>
  <si>
    <t>CB-ICO</t>
  </si>
  <si>
    <t>CB-INB</t>
  </si>
  <si>
    <t>CB-KBP</t>
  </si>
  <si>
    <t>CB-MDI</t>
  </si>
  <si>
    <t>CB-OTH</t>
  </si>
  <si>
    <t>CB-POL</t>
  </si>
  <si>
    <t>CB-PRI</t>
  </si>
  <si>
    <t>CB-REA</t>
  </si>
  <si>
    <t>CB-RUS</t>
  </si>
  <si>
    <t>CB-SEC</t>
  </si>
  <si>
    <t>CB-SUR</t>
  </si>
  <si>
    <t>CB-WAR</t>
  </si>
  <si>
    <t>KBC</t>
  </si>
  <si>
    <t>ConsoPerspectives_LocalList</t>
  </si>
  <si>
    <t>GRS</t>
  </si>
  <si>
    <t>3.2</t>
  </si>
  <si>
    <t>2012-09</t>
  </si>
  <si>
    <t>&lt;== If Local Currency (_P !) &lt;&gt; "EUR" 
      then  Local Currency</t>
  </si>
  <si>
    <t>Company Grouping Indicator</t>
  </si>
  <si>
    <t>CompaniesC1_LocalList</t>
  </si>
  <si>
    <t>CompaniesC2_LocalList</t>
  </si>
  <si>
    <t>CompaniesCL_LocalList</t>
  </si>
  <si>
    <t>CompaniesCB_LocalList</t>
  </si>
  <si>
    <t>CP BEL</t>
  </si>
  <si>
    <t>CP AMBEL</t>
  </si>
  <si>
    <t>0001BE</t>
  </si>
  <si>
    <t>1090BE</t>
  </si>
  <si>
    <t>0003BE</t>
  </si>
  <si>
    <t>CP DZI</t>
  </si>
  <si>
    <t>CP GRP RE</t>
  </si>
  <si>
    <t>CP LEASBEL</t>
  </si>
  <si>
    <t>CP CZR</t>
  </si>
  <si>
    <t>CP CCR</t>
  </si>
  <si>
    <t>CP IMA</t>
  </si>
  <si>
    <t>CP SLR</t>
  </si>
  <si>
    <t>CP CSR</t>
  </si>
  <si>
    <t>CP HUN</t>
  </si>
  <si>
    <t>CP BUL</t>
  </si>
  <si>
    <t>CP IRL</t>
  </si>
  <si>
    <t>CP Other</t>
  </si>
  <si>
    <t>CP GRP</t>
  </si>
  <si>
    <t>0020</t>
  </si>
  <si>
    <t>0007</t>
  </si>
  <si>
    <t>CP KBP</t>
  </si>
  <si>
    <t>1090OT</t>
  </si>
  <si>
    <t>CP ADB</t>
  </si>
  <si>
    <t>CP PRE</t>
  </si>
  <si>
    <t>BU</t>
  </si>
  <si>
    <t>Type of report</t>
  </si>
  <si>
    <t>Subgroup Selection</t>
  </si>
  <si>
    <t>BU/country Selection</t>
  </si>
  <si>
    <t>BA BEL</t>
  </si>
  <si>
    <t>Total_P060_Company</t>
  </si>
  <si>
    <t>Subgroup</t>
  </si>
  <si>
    <t>CP REA</t>
  </si>
  <si>
    <t>CP FIN</t>
  </si>
  <si>
    <t>CP FP</t>
  </si>
  <si>
    <t>CP WAR</t>
  </si>
  <si>
    <t>BA CZR</t>
  </si>
  <si>
    <t>BA IMA</t>
  </si>
  <si>
    <t>BA SLR</t>
  </si>
  <si>
    <t>BA HUN</t>
  </si>
  <si>
    <t>BA BUL</t>
  </si>
  <si>
    <t>BA IRL</t>
  </si>
  <si>
    <t>BA Other</t>
  </si>
  <si>
    <t>BA GRP</t>
  </si>
  <si>
    <t>BA REA</t>
  </si>
  <si>
    <t>BA GRP RE</t>
  </si>
  <si>
    <t>BA FIN</t>
  </si>
  <si>
    <t>BA PRE</t>
  </si>
  <si>
    <t>0003</t>
  </si>
  <si>
    <t>1090</t>
  </si>
  <si>
    <t>Lijst met underlying</t>
  </si>
  <si>
    <t>0001AL</t>
  </si>
  <si>
    <t>0003AL</t>
  </si>
  <si>
    <t>0001AT</t>
  </si>
  <si>
    <t>0001DV</t>
  </si>
  <si>
    <t>0530</t>
  </si>
  <si>
    <t>0036</t>
  </si>
  <si>
    <t>0003DV</t>
  </si>
  <si>
    <t>0040_A</t>
  </si>
  <si>
    <t>0262</t>
  </si>
  <si>
    <t>CP GRP INSURANCE</t>
  </si>
  <si>
    <t>CP LEASGRP</t>
  </si>
  <si>
    <t>-</t>
  </si>
  <si>
    <t>EN_LONG</t>
  </si>
  <si>
    <t>Attribname_P ------------------------&gt;</t>
  </si>
  <si>
    <t>I1</t>
  </si>
  <si>
    <t>I2</t>
  </si>
  <si>
    <t>I3</t>
  </si>
  <si>
    <t>Total</t>
  </si>
  <si>
    <t>Input</t>
  </si>
  <si>
    <t>Correction</t>
  </si>
  <si>
    <t>How To Use this workbook.</t>
  </si>
  <si>
    <t>Quarter</t>
  </si>
  <si>
    <t>Q1</t>
  </si>
  <si>
    <t>Q2</t>
  </si>
  <si>
    <t>Q3</t>
  </si>
  <si>
    <t>Q4</t>
  </si>
  <si>
    <t>03</t>
  </si>
  <si>
    <t>06</t>
  </si>
  <si>
    <t>09</t>
  </si>
  <si>
    <t>12</t>
  </si>
  <si>
    <t>E1</t>
  </si>
  <si>
    <t>E2</t>
  </si>
  <si>
    <t>QES16</t>
  </si>
  <si>
    <t>Estimate</t>
  </si>
  <si>
    <t>GRSD</t>
  </si>
  <si>
    <t>LC</t>
  </si>
  <si>
    <t>Other</t>
  </si>
  <si>
    <t>0719</t>
  </si>
  <si>
    <t>Operating expenses</t>
  </si>
  <si>
    <t>Impairment</t>
  </si>
  <si>
    <t>Single Company Selection</t>
  </si>
  <si>
    <t>Total_p060_companygrouping</t>
  </si>
  <si>
    <t xml:space="preserve">Reference period </t>
  </si>
  <si>
    <t>(Comparison of Current Estimate with APC is already included)</t>
  </si>
  <si>
    <t>AC Clone</t>
  </si>
  <si>
    <t>Run QES/ROFO</t>
  </si>
  <si>
    <t>GRS_Clone</t>
  </si>
  <si>
    <t>Quarter Estimate Parameters : Actuality</t>
  </si>
  <si>
    <t>Current Actuality</t>
  </si>
  <si>
    <t>Previous actuality</t>
  </si>
  <si>
    <t>Period</t>
  </si>
  <si>
    <t>0048</t>
  </si>
  <si>
    <t>1018</t>
  </si>
  <si>
    <t>1089</t>
  </si>
  <si>
    <t>0053</t>
  </si>
  <si>
    <t>0013</t>
  </si>
  <si>
    <t>GRS:P060_GRS</t>
  </si>
  <si>
    <t>GRS:P060_GRS_Clone</t>
  </si>
  <si>
    <t>Run QES/ROFO input</t>
  </si>
  <si>
    <t>P&amp;L per company or BU - Please log on to the GRS server</t>
  </si>
  <si>
    <t>Banking</t>
  </si>
  <si>
    <t>Insurance</t>
  </si>
  <si>
    <t>Allocated capital (end of period)</t>
  </si>
  <si>
    <t>Net interest income</t>
  </si>
  <si>
    <t>Non-life insurance (before reinsurance)</t>
  </si>
  <si>
    <t>Earned premiums</t>
  </si>
  <si>
    <t>Technical charges</t>
  </si>
  <si>
    <t>Life insurance (before reinsurance)</t>
  </si>
  <si>
    <t>Ceded reinsurance result</t>
  </si>
  <si>
    <t>Dividend income</t>
  </si>
  <si>
    <t>Net realised result from available-for-sale assets</t>
  </si>
  <si>
    <t>Net fee and commission income</t>
  </si>
  <si>
    <t>Other net income</t>
  </si>
  <si>
    <t>Total income</t>
  </si>
  <si>
    <t>Result before tax</t>
  </si>
  <si>
    <t>Income tax expense</t>
  </si>
  <si>
    <t>Result after tax</t>
  </si>
  <si>
    <t>Return on allocated capital (ROAC)</t>
  </si>
  <si>
    <t>Cost/income ratio, banking</t>
  </si>
  <si>
    <t>Combined ratio, non-life insurance</t>
  </si>
  <si>
    <t>Net interest margin, banking</t>
  </si>
  <si>
    <t>Attributable to equity holders of the parent</t>
  </si>
  <si>
    <t>KBC GROUP</t>
  </si>
  <si>
    <t>FY2016</t>
  </si>
  <si>
    <t xml:space="preserve">     Belgium</t>
  </si>
  <si>
    <t xml:space="preserve">     Czech Republic</t>
  </si>
  <si>
    <t xml:space="preserve">     International Markets</t>
  </si>
  <si>
    <t xml:space="preserve">     Group Centre</t>
  </si>
  <si>
    <t>Parent shareholders’ equity per share (in EUR, end of period)</t>
  </si>
  <si>
    <t>KBC Group (in millions of EUR)</t>
  </si>
  <si>
    <t>Share in results of associated companies and joint ventures</t>
  </si>
  <si>
    <t>Key consolidated balance sheet figures</t>
  </si>
  <si>
    <t>Total assets</t>
  </si>
  <si>
    <t>Securities (equity and debt instruments)</t>
  </si>
  <si>
    <t>Technical provisions, before reinsurance</t>
  </si>
  <si>
    <t>Liabilities under investment contracts, insurance</t>
  </si>
  <si>
    <t>Parent shareholders’ equity</t>
  </si>
  <si>
    <t xml:space="preserve">Return on equity  </t>
  </si>
  <si>
    <t xml:space="preserve">     for loans more than 90 days overdue</t>
  </si>
  <si>
    <t xml:space="preserve"> Net stable funding ratio (NSFR)</t>
  </si>
  <si>
    <t xml:space="preserve"> Liquidity coverage ratio (LCR)</t>
  </si>
  <si>
    <t xml:space="preserve">Credit risk: loan portfolio overview </t>
  </si>
  <si>
    <t>Total loan portfolio (in billions of EUR)</t>
  </si>
  <si>
    <t xml:space="preserve">Total loan portfolio, by business unit (as a % of the portfolio of credit outstanding) </t>
  </si>
  <si>
    <t>Belgium</t>
  </si>
  <si>
    <t>Czech Republic</t>
  </si>
  <si>
    <t>International Markets</t>
  </si>
  <si>
    <t>Group Centre</t>
  </si>
  <si>
    <t>Total outstanding loan portfolio sector breakdown</t>
  </si>
  <si>
    <t>Private persons</t>
  </si>
  <si>
    <t>Finance and insurance</t>
  </si>
  <si>
    <t>Authorities</t>
  </si>
  <si>
    <t>Corporates</t>
  </si>
  <si>
    <t xml:space="preserve">   services</t>
  </si>
  <si>
    <t xml:space="preserve">   distribution</t>
  </si>
  <si>
    <t xml:space="preserve">   real estate</t>
  </si>
  <si>
    <t xml:space="preserve">   building &amp; construction</t>
  </si>
  <si>
    <t xml:space="preserve">   agriculture, farming, fishing</t>
  </si>
  <si>
    <t xml:space="preserve">   automotive</t>
  </si>
  <si>
    <t xml:space="preserve">   electricity</t>
  </si>
  <si>
    <t xml:space="preserve">   food producers</t>
  </si>
  <si>
    <t xml:space="preserve">   metals</t>
  </si>
  <si>
    <t xml:space="preserve">   shipping</t>
  </si>
  <si>
    <t xml:space="preserve">   machinery &amp; heavy equipment</t>
  </si>
  <si>
    <t xml:space="preserve">   chemicals</t>
  </si>
  <si>
    <t xml:space="preserve">   traders</t>
  </si>
  <si>
    <t xml:space="preserve">   hotels, bars &amp; restaurants</t>
  </si>
  <si>
    <t xml:space="preserve">   oil, gas &amp; other fuels</t>
  </si>
  <si>
    <t xml:space="preserve">   electrotechnics</t>
  </si>
  <si>
    <t>Total outstanding loan portfolio geographical breakdown</t>
  </si>
  <si>
    <t>Home countries</t>
  </si>
  <si>
    <t>Ireland</t>
  </si>
  <si>
    <t>Slovakia</t>
  </si>
  <si>
    <t>Hungary</t>
  </si>
  <si>
    <t>Bulgaria</t>
  </si>
  <si>
    <t>Rest of Western Europe</t>
  </si>
  <si>
    <t xml:space="preserve">   France</t>
  </si>
  <si>
    <t xml:space="preserve">   Netherlands</t>
  </si>
  <si>
    <t xml:space="preserve">   Great Britain</t>
  </si>
  <si>
    <t xml:space="preserve">   Spain</t>
  </si>
  <si>
    <t xml:space="preserve">   Luxemburg</t>
  </si>
  <si>
    <t xml:space="preserve">   Germany</t>
  </si>
  <si>
    <t xml:space="preserve">   other</t>
  </si>
  <si>
    <t>Rest of Central Europe</t>
  </si>
  <si>
    <t xml:space="preserve">   Russia</t>
  </si>
  <si>
    <t>North America</t>
  </si>
  <si>
    <t xml:space="preserve">   USA</t>
  </si>
  <si>
    <t xml:space="preserve">   Canada</t>
  </si>
  <si>
    <t>Asia</t>
  </si>
  <si>
    <t xml:space="preserve">   Hong Kong</t>
  </si>
  <si>
    <t xml:space="preserve">   Singapore</t>
  </si>
  <si>
    <t>Rest of the world</t>
  </si>
  <si>
    <t>Impaired loans (in millions of EUR or %)</t>
  </si>
  <si>
    <t>Amount outstanding</t>
  </si>
  <si>
    <t xml:space="preserve">     of which: more than 90 days past due</t>
  </si>
  <si>
    <t>Ratio of impaired loans, per business unit</t>
  </si>
  <si>
    <t xml:space="preserve">     Total</t>
  </si>
  <si>
    <t xml:space="preserve">          of which: more than 90 days past due</t>
  </si>
  <si>
    <t>Cover ratio of impaired loans</t>
  </si>
  <si>
    <t>Cover ratio of impaired loans, mortgage loans excluded</t>
  </si>
  <si>
    <t>Credit cost, by business unit (%)</t>
  </si>
  <si>
    <t xml:space="preserve">          Slovakia</t>
  </si>
  <si>
    <t xml:space="preserve">          Hungary</t>
  </si>
  <si>
    <t xml:space="preserve">          Bulgaria</t>
  </si>
  <si>
    <t xml:space="preserve">          Ireland</t>
  </si>
  <si>
    <t xml:space="preserve">     Group Centre </t>
  </si>
  <si>
    <t>Net result (in millions of EUR)</t>
  </si>
  <si>
    <t>Basic earnings per share (in EUR)</t>
  </si>
  <si>
    <t>Breakdown of the net result by business unit (in millions of EUR)</t>
  </si>
  <si>
    <t xml:space="preserve">   </t>
  </si>
  <si>
    <t>Consolidated income statement, IFRS</t>
  </si>
  <si>
    <t xml:space="preserve">      attributable to minority interests</t>
  </si>
  <si>
    <t xml:space="preserve">     attributable to equity holders of the parent</t>
  </si>
  <si>
    <t>Basic earnings per share (EUR)</t>
  </si>
  <si>
    <t>Diluted earnings per share (EUR)</t>
  </si>
  <si>
    <t>1Q 2017</t>
  </si>
  <si>
    <t>Non-life insurance before reinsurance</t>
  </si>
  <si>
    <t>Earned premiums Non-life</t>
  </si>
  <si>
    <t>Technical charges Non-life</t>
  </si>
  <si>
    <t>Life insurance before reinsurance</t>
  </si>
  <si>
    <t>Earned premiums Life</t>
  </si>
  <si>
    <t>Technical charges Life</t>
  </si>
  <si>
    <t>Net other income</t>
  </si>
  <si>
    <t>§</t>
  </si>
  <si>
    <t>2Q 2017</t>
  </si>
  <si>
    <t xml:space="preserve">   textile &amp; apparel</t>
  </si>
  <si>
    <r>
      <t xml:space="preserve">   other </t>
    </r>
    <r>
      <rPr>
        <vertAlign val="superscript"/>
        <sz val="10"/>
        <color theme="1"/>
        <rFont val="Arial"/>
        <family val="2"/>
      </rPr>
      <t>2</t>
    </r>
  </si>
  <si>
    <r>
      <t xml:space="preserve">   </t>
    </r>
    <r>
      <rPr>
        <i/>
        <sz val="10"/>
        <color theme="1"/>
        <rFont val="Arial"/>
        <family val="2"/>
      </rPr>
      <t>China</t>
    </r>
  </si>
  <si>
    <t>3Q2017</t>
  </si>
  <si>
    <t>3Q 2017</t>
  </si>
  <si>
    <t>4Q2017</t>
  </si>
  <si>
    <t>FY2017</t>
  </si>
  <si>
    <t>-0.06%</t>
  </si>
  <si>
    <t>6.0%</t>
  </si>
  <si>
    <t>3.4%</t>
  </si>
  <si>
    <t>Business Unit Belgium</t>
  </si>
  <si>
    <t>(in millions of EUR)</t>
  </si>
  <si>
    <t>Net result from financial instruments at fair value through profit or loss</t>
  </si>
  <si>
    <t>TOTAL INCOME</t>
  </si>
  <si>
    <t>on other</t>
  </si>
  <si>
    <t>RESULT BEFORE TAX</t>
  </si>
  <si>
    <t>RESULT AFTER TAX</t>
  </si>
  <si>
    <t>Attributable to minority interest</t>
  </si>
  <si>
    <t>Breakdown Loans and deposits</t>
  </si>
  <si>
    <t>Technial provisions plus unit-linked, life insurance</t>
  </si>
  <si>
    <t>Interest Guaranteed</t>
  </si>
  <si>
    <t>Unit-Linked</t>
  </si>
  <si>
    <t>Performance Indicators</t>
  </si>
  <si>
    <t>Required capital, insurance (end of period)</t>
  </si>
  <si>
    <t>2017</t>
  </si>
  <si>
    <t>2016</t>
  </si>
  <si>
    <t>4Q 2017</t>
  </si>
  <si>
    <t>Total customer loans excluding reverse repo (end of period)</t>
  </si>
  <si>
    <t>Mortgage loans (end of period)</t>
  </si>
  <si>
    <t>Customer deposits and debt certificates excl. repos (end of period)</t>
  </si>
  <si>
    <t>Risk-weighted assets, banking (end of period, Basel III fully loaded)</t>
  </si>
  <si>
    <t>Business Unit Czech Republic</t>
  </si>
  <si>
    <t>Business Unit International Markets</t>
  </si>
  <si>
    <t>Breakdown P&amp;L</t>
  </si>
  <si>
    <t>Group centre - Breakdown net result</t>
  </si>
  <si>
    <t>Operational costs of the Group activities</t>
  </si>
  <si>
    <t>Capital and treasury management</t>
  </si>
  <si>
    <t>Capital and treasury management APC</t>
  </si>
  <si>
    <t>Results companies in rundown</t>
  </si>
  <si>
    <t>Total net result for the Group centre</t>
  </si>
  <si>
    <t>Risk-weighted assets, insurance (end of period, Basel III fully loaded)</t>
  </si>
  <si>
    <t>1Q 2018</t>
  </si>
  <si>
    <t>IFRS 9</t>
  </si>
  <si>
    <t>IAS 39</t>
  </si>
  <si>
    <t>Net realised result from debt instr FV through OCI</t>
  </si>
  <si>
    <t>FY 2016</t>
  </si>
  <si>
    <t>FY 2017</t>
  </si>
  <si>
    <t>fY 2016</t>
  </si>
  <si>
    <t>fY 2017</t>
  </si>
  <si>
    <t>1Q2018</t>
  </si>
  <si>
    <t>(IFRS9)</t>
  </si>
  <si>
    <t>1.30</t>
  </si>
  <si>
    <t>0.92</t>
  </si>
  <si>
    <t>40.9</t>
  </si>
  <si>
    <t>Net realised result from debt instruments at fair value through other comprehensive income</t>
  </si>
  <si>
    <t>-1  291</t>
  </si>
  <si>
    <t>1.62</t>
  </si>
  <si>
    <t>2.01</t>
  </si>
  <si>
    <t>Selected ratios</t>
  </si>
  <si>
    <t>KBC group (consolidated)</t>
  </si>
  <si>
    <t>(when excluding certain non-operating items and evenly spreading the banking tax)</t>
  </si>
  <si>
    <t>Common equity ratio Basel III Danish Compromise (fully loaded)</t>
  </si>
  <si>
    <t>16.3%</t>
  </si>
  <si>
    <t>Common equity ratio FICOD (fully loaded)</t>
  </si>
  <si>
    <t>15.1%</t>
  </si>
  <si>
    <t>Leverage ratio  Basel III (fully loaded)</t>
  </si>
  <si>
    <t>6.1%</t>
  </si>
  <si>
    <r>
      <t>Net result from financial instruments at fair value through P&amp;L</t>
    </r>
    <r>
      <rPr>
        <vertAlign val="superscript"/>
        <sz val="10"/>
        <color rgb="FF1F497D"/>
        <rFont val="Arial"/>
        <family val="2"/>
      </rPr>
      <t>1</t>
    </r>
  </si>
  <si>
    <r>
      <t xml:space="preserve">Portfolio outstanding + undrawn </t>
    </r>
    <r>
      <rPr>
        <vertAlign val="superscript"/>
        <sz val="10"/>
        <color theme="1"/>
        <rFont val="Arial"/>
        <family val="2"/>
      </rPr>
      <t>1</t>
    </r>
  </si>
  <si>
    <r>
      <t xml:space="preserve">Portfolio outstanding </t>
    </r>
    <r>
      <rPr>
        <vertAlign val="superscript"/>
        <sz val="10"/>
        <color theme="1"/>
        <rFont val="Arial"/>
        <family val="2"/>
      </rPr>
      <t>1</t>
    </r>
  </si>
  <si>
    <t>Stage 1 (credit risk has not increased significantly since initial recognition)</t>
  </si>
  <si>
    <t xml:space="preserve">     of which: PD 1 - 4</t>
  </si>
  <si>
    <t xml:space="preserve">     of which: PD 5 - 9 including unrated</t>
  </si>
  <si>
    <t xml:space="preserve">     of which: PD 10 – 12 (impaired loans)</t>
  </si>
  <si>
    <t>Stage 3 loan loss impairments (in millions of EUR) and Cover ratio (%)</t>
  </si>
  <si>
    <t>Stage 3 loan loss impairments</t>
  </si>
  <si>
    <t xml:space="preserve">     Stage 3 loan loss impairments / impaired loans</t>
  </si>
  <si>
    <t xml:space="preserve">     Stage 3 loan loss impairments  / impaired loans, mortgage loans excluded</t>
  </si>
  <si>
    <r>
      <t xml:space="preserve">Stage 2 (credit risk has increased significantly since initial recognition – not credit impaired) incl. POCI </t>
    </r>
    <r>
      <rPr>
        <vertAlign val="superscript"/>
        <sz val="10"/>
        <color theme="1"/>
        <rFont val="Times New Roman"/>
        <family val="1"/>
      </rPr>
      <t>4</t>
    </r>
  </si>
  <si>
    <r>
      <t xml:space="preserve">Stage 3 (credit risk has increased significantly since initial recognition – credit impaired) incl. POCI </t>
    </r>
    <r>
      <rPr>
        <vertAlign val="superscript"/>
        <sz val="10"/>
        <color theme="1"/>
        <rFont val="Times New Roman"/>
        <family val="1"/>
      </rPr>
      <t>4</t>
    </r>
  </si>
  <si>
    <t>on loans and receivable</t>
  </si>
  <si>
    <t xml:space="preserve">on impairment on FA at AC </t>
  </si>
  <si>
    <t>on available-for-sale</t>
  </si>
  <si>
    <t xml:space="preserve">on impairment on FA at FV though OCI </t>
  </si>
  <si>
    <t>2Q 2018</t>
  </si>
  <si>
    <t>iFRS 9</t>
  </si>
  <si>
    <t>KBC Group - overview (consolidated, IFRS)</t>
  </si>
  <si>
    <t>2Q2018</t>
  </si>
  <si>
    <t>(IFRS 9)</t>
  </si>
  <si>
    <t>(IAS 39)</t>
  </si>
  <si>
    <t>1H2018</t>
  </si>
  <si>
    <t>1.61</t>
  </si>
  <si>
    <t>2.91</t>
  </si>
  <si>
    <t>3.49</t>
  </si>
  <si>
    <t>39.9</t>
  </si>
  <si>
    <t>39.8</t>
  </si>
  <si>
    <t xml:space="preserve"> (IAS 39)</t>
  </si>
  <si>
    <t>1H2018 (IFRS 9)</t>
  </si>
  <si>
    <t>1H2017 (IAS 39)</t>
  </si>
  <si>
    <t>Share in results of associated companies &amp; joint ventures</t>
  </si>
  <si>
    <t>30-06-2018 (IFRS 9)</t>
  </si>
  <si>
    <t>31-03-2018 (IFRS 9)</t>
  </si>
  <si>
    <t>31-12-2017 (IAS 39)</t>
  </si>
  <si>
    <t>30-09-2017 (IAS 39)</t>
  </si>
  <si>
    <t>30-06-2017 (IAS 39)</t>
  </si>
  <si>
    <t>Loans and advances to customers, excl. reverse repos</t>
  </si>
  <si>
    <t>Deposits from customers and debt certificates, excl.repos</t>
  </si>
  <si>
    <t>-0.10%</t>
  </si>
  <si>
    <t>5.5%</t>
  </si>
  <si>
    <t>3.2%</t>
  </si>
  <si>
    <t xml:space="preserve">1 Also referred to as ‘trading and fair value income’. </t>
  </si>
  <si>
    <t>2 Also referred to as ‘loan loss impairments’.</t>
  </si>
  <si>
    <t>3 A negative figure indicates a net impairment release (with a positive impact on the results).</t>
  </si>
  <si>
    <r>
      <t xml:space="preserve">    Of which:  on loans and receivables</t>
    </r>
    <r>
      <rPr>
        <vertAlign val="superscript"/>
        <sz val="10"/>
        <color rgb="FF1F497D"/>
        <rFont val="Arial"/>
        <family val="2"/>
      </rPr>
      <t xml:space="preserve">2 </t>
    </r>
    <r>
      <rPr>
        <sz val="10"/>
        <color rgb="FF1F497D"/>
        <rFont val="Arial"/>
        <family val="2"/>
      </rPr>
      <t>(&lt;&lt;zonder AFS erbij)</t>
    </r>
  </si>
  <si>
    <r>
      <t xml:space="preserve">    Of which:  on financial assets at amortised cost and at fair value through other comprehensive income</t>
    </r>
    <r>
      <rPr>
        <vertAlign val="superscript"/>
        <sz val="10"/>
        <color rgb="FF1F497D"/>
        <rFont val="Arial"/>
        <family val="2"/>
      </rPr>
      <t>2</t>
    </r>
  </si>
  <si>
    <r>
      <t>Credit cost ratio</t>
    </r>
    <r>
      <rPr>
        <vertAlign val="superscript"/>
        <sz val="10"/>
        <color rgb="FF1F497D"/>
        <rFont val="Arial"/>
        <family val="2"/>
      </rPr>
      <t>3</t>
    </r>
  </si>
  <si>
    <r>
      <t>Impaired loans ratio</t>
    </r>
    <r>
      <rPr>
        <vertAlign val="superscript"/>
        <sz val="10"/>
        <color rgb="FF1F497D"/>
        <rFont val="Arial"/>
        <family val="2"/>
      </rPr>
      <t xml:space="preserve"> </t>
    </r>
    <r>
      <rPr>
        <sz val="10"/>
        <color rgb="FF1F497D"/>
        <rFont val="Arial"/>
        <family val="2"/>
      </rPr>
      <t xml:space="preserve">    </t>
    </r>
  </si>
  <si>
    <t>2Q2017
 (IAS 39)</t>
  </si>
  <si>
    <t>39.4%</t>
  </si>
  <si>
    <t>7.8%</t>
  </si>
  <si>
    <t>4.2%</t>
  </si>
  <si>
    <t>48.6%</t>
  </si>
  <si>
    <t>11.1%</t>
  </si>
  <si>
    <t>7.3%</t>
  </si>
  <si>
    <t>6.7%</t>
  </si>
  <si>
    <t>4.1%</t>
  </si>
  <si>
    <t>2.6%</t>
  </si>
  <si>
    <t>2.3%</t>
  </si>
  <si>
    <t>1.6%</t>
  </si>
  <si>
    <t>1.5%</t>
  </si>
  <si>
    <t>1.2%</t>
  </si>
  <si>
    <t>1.1%</t>
  </si>
  <si>
    <t>1.0%</t>
  </si>
  <si>
    <t>0.8%</t>
  </si>
  <si>
    <t>0.7%</t>
  </si>
  <si>
    <t>0.6%</t>
  </si>
  <si>
    <t>3.1%</t>
  </si>
  <si>
    <t>42.1%</t>
  </si>
  <si>
    <t>5.2%</t>
  </si>
  <si>
    <t>2.8%</t>
  </si>
  <si>
    <t>49.8%</t>
  </si>
  <si>
    <t>11.6%</t>
  </si>
  <si>
    <t>7.6%</t>
  </si>
  <si>
    <t>7.0%</t>
  </si>
  <si>
    <t>1.7%</t>
  </si>
  <si>
    <t>1.4%</t>
  </si>
  <si>
    <t>0.5%</t>
  </si>
  <si>
    <t>86.0%</t>
  </si>
  <si>
    <t>54.0%</t>
  </si>
  <si>
    <t>14.8%</t>
  </si>
  <si>
    <t>7.4%</t>
  </si>
  <si>
    <t>4.8%</t>
  </si>
  <si>
    <t>3.0%</t>
  </si>
  <si>
    <t>2.0%</t>
  </si>
  <si>
    <t>88.5%</t>
  </si>
  <si>
    <t>56.5%</t>
  </si>
  <si>
    <t>4.9%</t>
  </si>
  <si>
    <t>3.3%</t>
  </si>
  <si>
    <t>2.1%</t>
  </si>
  <si>
    <t>8.4%</t>
  </si>
  <si>
    <t>1.3%</t>
  </si>
  <si>
    <t>1.9%</t>
  </si>
  <si>
    <t>0.2%</t>
  </si>
  <si>
    <t>0.4%</t>
  </si>
  <si>
    <t>0.1%</t>
  </si>
  <si>
    <t>0.3%</t>
  </si>
  <si>
    <t>2.4%</t>
  </si>
  <si>
    <t>19.5%</t>
  </si>
  <si>
    <t>19.7%</t>
  </si>
  <si>
    <t>11.4%</t>
  </si>
  <si>
    <t>9.8%</t>
  </si>
  <si>
    <t>0.08%</t>
  </si>
  <si>
    <t>0.09%</t>
  </si>
  <si>
    <t>-0.03%</t>
  </si>
  <si>
    <t>0.02%</t>
  </si>
  <si>
    <t>-0.71%</t>
  </si>
  <si>
    <t>-0.74%</t>
  </si>
  <si>
    <t>0.01%</t>
  </si>
  <si>
    <t>0.16%</t>
  </si>
  <si>
    <t>-0.28%</t>
  </si>
  <si>
    <t>-0.22%</t>
  </si>
  <si>
    <t>0.83%</t>
  </si>
  <si>
    <t>-1.30%</t>
  </si>
  <si>
    <t>-1.70%</t>
  </si>
  <si>
    <t xml:space="preserve">-0.93% </t>
  </si>
  <si>
    <t xml:space="preserve">0.40% </t>
  </si>
  <si>
    <r>
      <t xml:space="preserve">Loan portfolio by IFRS-9 ECL 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stage (part of portfolio, as % of the portfolio of credit outstanding)</t>
    </r>
  </si>
  <si>
    <t>Of which banking</t>
  </si>
  <si>
    <t>Of which insurance</t>
  </si>
  <si>
    <t>Of which holding</t>
  </si>
  <si>
    <t>2Q2017 
(IAS 39)</t>
  </si>
  <si>
    <t>1H2017 
(IAS39)</t>
  </si>
  <si>
    <t>15.8%</t>
  </si>
  <si>
    <t>15.0%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</si>
</sst>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_);_(* \(#,##0\);_(* &quot;-&quot;_);_(@_)"/>
    <numFmt numFmtId="165" formatCode="_(* #,##0.00_);_(* \(#,##0.00\);_(* &quot;-&quot;??_);_(@_)"/>
    <numFmt numFmtId="166" formatCode="d/mm/yyyy;@"/>
    <numFmt numFmtId="167" formatCode="yyyydd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-* #,##0\ _B_F_-;\-* #,##0\ _B_F_-;_-* &quot;-&quot;??\ _B_F_-;_-@_-"/>
    <numFmt numFmtId="171" formatCode="#,##0.0000000"/>
    <numFmt numFmtId="172" formatCode="###.000\ ###\ ###\ ##0,,"/>
    <numFmt numFmtId="173" formatCode="###\ ###\ ##0,,"/>
  </numFmts>
  <fonts count="49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10"/>
      <color theme="2" tint="-0.24997711111789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6" tint="0.3999755851924192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7"/>
      <name val="Arial"/>
      <family val="2"/>
    </font>
    <font>
      <b/>
      <sz val="10"/>
      <color rgb="FF00B0F0"/>
      <name val="Arial"/>
      <family val="2"/>
    </font>
    <font>
      <b/>
      <sz val="16"/>
      <color rgb="FF00B0F0"/>
      <name val="Arial"/>
      <family val="2"/>
    </font>
    <font>
      <sz val="10"/>
      <color rgb="FF1F497D"/>
      <name val="Arial"/>
      <family val="2"/>
    </font>
    <font>
      <i/>
      <sz val="10"/>
      <color rgb="FF1F497D"/>
      <name val="Arial"/>
      <family val="2"/>
    </font>
    <font>
      <b/>
      <sz val="10"/>
      <color rgb="FF1F497D"/>
      <name val="Arial"/>
      <family val="2"/>
    </font>
    <font>
      <sz val="10"/>
      <color rgb="FF00B0F0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sz val="10"/>
      <color rgb="FF00B0F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color rgb="FF1F497D"/>
      <name val="Arial"/>
      <family val="2"/>
    </font>
    <font>
      <sz val="10"/>
      <color rgb="FFB8CCE4"/>
      <name val="Arial"/>
      <family val="2"/>
    </font>
    <font>
      <vertAlign val="superscript"/>
      <sz val="10"/>
      <color theme="1"/>
      <name val="Times New Roman"/>
      <family val="1"/>
    </font>
    <font>
      <sz val="11"/>
      <color rgb="FF00B0F0"/>
      <name val="Arial"/>
      <family val="2"/>
    </font>
    <font>
      <sz val="14"/>
      <color rgb="FF1F497D"/>
      <name val="Rockwell"/>
      <family val="1"/>
    </font>
    <font>
      <sz val="9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bgColor rgb="FF92D050"/>
      </patternFill>
    </fill>
    <fill>
      <patternFill patternType="lightGray">
        <bgColor theme="4" tint="0.39994506668294322"/>
      </patternFill>
    </fill>
    <fill>
      <patternFill patternType="solid">
        <fgColor theme="0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 tint="-0.14993743705557422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/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ck">
        <color rgb="FFC6D9F1"/>
      </left>
      <right/>
      <top style="thick">
        <color rgb="FFC6D9F1"/>
      </top>
      <bottom/>
      <diagonal/>
    </border>
    <border>
      <left style="thick">
        <color rgb="FFC6D9F1"/>
      </left>
      <right/>
      <top/>
      <bottom style="medium">
        <color rgb="FFFFFFFF"/>
      </bottom>
      <diagonal/>
    </border>
    <border>
      <left/>
      <right/>
      <top style="thick">
        <color rgb="FFC6D9F1"/>
      </top>
      <bottom/>
      <diagonal/>
    </border>
    <border>
      <left/>
      <right/>
      <top/>
      <bottom style="medium">
        <color rgb="FFFFFFFF"/>
      </bottom>
      <diagonal/>
    </border>
    <border>
      <left/>
      <right style="thick">
        <color rgb="FFC6D9F1"/>
      </right>
      <top style="thick">
        <color rgb="FFC6D9F1"/>
      </top>
      <bottom/>
      <diagonal/>
    </border>
    <border>
      <left/>
      <right style="thick">
        <color rgb="FFC6D9F1"/>
      </right>
      <top/>
      <bottom style="medium">
        <color rgb="FFFFFFFF"/>
      </bottom>
      <diagonal/>
    </border>
    <border>
      <left style="thick">
        <color rgb="FFC6D9F1"/>
      </left>
      <right/>
      <top/>
      <bottom/>
      <diagonal/>
    </border>
    <border>
      <left/>
      <right style="thick">
        <color rgb="FFC6D9F1"/>
      </right>
      <top/>
      <bottom/>
      <diagonal/>
    </border>
    <border>
      <left style="thick">
        <color rgb="FFC6D9F1"/>
      </left>
      <right/>
      <top/>
      <bottom style="medium">
        <color rgb="FF808080"/>
      </bottom>
      <diagonal/>
    </border>
    <border>
      <left/>
      <right style="thick">
        <color rgb="FFC6D9F1"/>
      </right>
      <top/>
      <bottom style="medium">
        <color rgb="FF808080"/>
      </bottom>
      <diagonal/>
    </border>
    <border>
      <left style="thick">
        <color rgb="FFC6D9F1"/>
      </left>
      <right/>
      <top/>
      <bottom style="thick">
        <color rgb="FFC6D9F1"/>
      </bottom>
      <diagonal/>
    </border>
    <border>
      <left/>
      <right/>
      <top/>
      <bottom style="thick">
        <color rgb="FFC6D9F1"/>
      </bottom>
      <diagonal/>
    </border>
    <border>
      <left/>
      <right style="thick">
        <color rgb="FFC6D9F1"/>
      </right>
      <top/>
      <bottom style="thick">
        <color rgb="FFC6D9F1"/>
      </bottom>
      <diagonal/>
    </border>
    <border>
      <left style="thick">
        <color rgb="FFC6D9F1"/>
      </left>
      <right/>
      <top style="medium">
        <color rgb="FF808080"/>
      </top>
      <bottom style="medium">
        <color rgb="FF808080"/>
      </bottom>
      <diagonal/>
    </border>
    <border>
      <left style="thick">
        <color rgb="FFC6D9F1"/>
      </left>
      <right/>
      <top style="medium">
        <color rgb="FF808080"/>
      </top>
      <bottom/>
      <diagonal/>
    </border>
    <border>
      <left style="thick">
        <color rgb="FFC6D9F1"/>
      </left>
      <right/>
      <top/>
      <bottom style="medium">
        <color indexed="64"/>
      </bottom>
      <diagonal/>
    </border>
    <border>
      <left/>
      <right/>
      <top style="medium">
        <color rgb="FFFFFFFF"/>
      </top>
      <bottom/>
      <diagonal/>
    </border>
    <border>
      <left style="thick">
        <color rgb="FFC6D9F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1F497D"/>
      </bottom>
      <diagonal/>
    </border>
    <border>
      <left style="thick">
        <color rgb="FFC6D9F1"/>
      </left>
      <right style="thick">
        <color rgb="FFC6D9F1"/>
      </right>
      <top style="thick">
        <color rgb="FFC6D9F1"/>
      </top>
      <bottom/>
      <diagonal/>
    </border>
    <border>
      <left style="thick">
        <color rgb="FFC6D9F1"/>
      </left>
      <right style="thick">
        <color rgb="FFC6D9F1"/>
      </right>
      <top/>
      <bottom style="medium">
        <color rgb="FFFFFFFF"/>
      </bottom>
      <diagonal/>
    </border>
    <border>
      <left/>
      <right style="thick">
        <color rgb="FFC6D9F1"/>
      </right>
      <top style="medium">
        <color rgb="FF808080"/>
      </top>
      <bottom style="medium">
        <color rgb="FF808080"/>
      </bottom>
      <diagonal/>
    </border>
    <border>
      <left/>
      <right style="thick">
        <color rgb="FFC6D9F1"/>
      </right>
      <top style="medium">
        <color rgb="FF808080"/>
      </top>
      <bottom/>
      <diagonal/>
    </border>
    <border>
      <left/>
      <right style="thick">
        <color rgb="FFC6D9F1"/>
      </right>
      <top/>
      <bottom style="medium">
        <color indexed="64"/>
      </bottom>
      <diagonal/>
    </border>
    <border>
      <left/>
      <right style="thick">
        <color rgb="FFC6D9F1"/>
      </right>
      <top style="medium">
        <color rgb="FFFFFFFF"/>
      </top>
      <bottom/>
      <diagonal/>
    </border>
    <border>
      <left style="thick">
        <color rgb="FFC6D9F1"/>
      </left>
      <right style="thick">
        <color rgb="FFC6D9F1"/>
      </right>
      <top/>
      <bottom/>
      <diagonal/>
    </border>
    <border>
      <left/>
      <right style="thick">
        <color rgb="FFC6D9F1"/>
      </right>
      <top style="medium">
        <color indexed="64"/>
      </top>
      <bottom/>
      <diagonal/>
    </border>
  </borders>
  <cellStyleXfs count="51">
    <xf numFmtId="0" fontId="0" fillId="0" borderId="0"/>
    <xf numFmtId="0" fontId="4" fillId="3" borderId="0" applyBorder="0">
      <alignment horizontal="left"/>
      <protection hidden="1"/>
    </xf>
    <xf numFmtId="49" fontId="6" fillId="5" borderId="0">
      <alignment horizontal="left" wrapText="1"/>
      <protection hidden="1"/>
    </xf>
    <xf numFmtId="3" fontId="9" fillId="7" borderId="2">
      <protection locked="0"/>
    </xf>
    <xf numFmtId="0" fontId="9" fillId="7" borderId="3"/>
    <xf numFmtId="0" fontId="9" fillId="8" borderId="3">
      <alignment horizontal="left" indent="2"/>
    </xf>
    <xf numFmtId="3" fontId="9" fillId="8" borderId="2">
      <alignment horizontal="right"/>
    </xf>
    <xf numFmtId="3" fontId="7" fillId="9" borderId="2">
      <alignment horizontal="right"/>
    </xf>
    <xf numFmtId="0" fontId="7" fillId="9" borderId="3">
      <alignment horizontal="left" indent="3"/>
    </xf>
    <xf numFmtId="3" fontId="8" fillId="10" borderId="2">
      <alignment horizontal="right"/>
    </xf>
    <xf numFmtId="0" fontId="8" fillId="0" borderId="0">
      <alignment horizontal="left" indent="4"/>
    </xf>
    <xf numFmtId="0" fontId="4" fillId="11" borderId="0" applyNumberFormat="0" applyFont="0" applyFill="0" applyBorder="0" applyAlignment="0">
      <alignment horizontal="left"/>
      <protection hidden="1"/>
    </xf>
    <xf numFmtId="0" fontId="4" fillId="11" borderId="0" applyNumberFormat="0" applyFont="0" applyFill="0" applyBorder="0" applyAlignment="0">
      <alignment horizontal="left"/>
      <protection locked="0"/>
    </xf>
    <xf numFmtId="0" fontId="11" fillId="0" borderId="0"/>
    <xf numFmtId="0" fontId="4" fillId="0" borderId="0" applyFill="0" applyBorder="0">
      <alignment horizontal="left" wrapText="1"/>
    </xf>
    <xf numFmtId="0" fontId="4" fillId="0" borderId="0" applyFill="0" applyBorder="0">
      <alignment horizontal="left" wrapText="1" indent="1"/>
    </xf>
    <xf numFmtId="0" fontId="12" fillId="0" borderId="8">
      <alignment horizontal="left" vertical="center" wrapText="1" indent="3"/>
    </xf>
    <xf numFmtId="165" fontId="4" fillId="0" borderId="0" applyFont="0" applyFill="0" applyBorder="0" applyAlignment="0" applyProtection="0"/>
    <xf numFmtId="49" fontId="5" fillId="0" borderId="0" applyFill="0" applyBorder="0">
      <alignment horizontal="left" wrapText="1"/>
    </xf>
    <xf numFmtId="0" fontId="4" fillId="15" borderId="0" applyBorder="0">
      <alignment wrapText="1"/>
    </xf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" fillId="0" borderId="2">
      <alignment horizontal="center" vertical="center" wrapText="1"/>
    </xf>
    <xf numFmtId="0" fontId="26" fillId="0" borderId="2">
      <alignment horizontal="center" vertical="center" wrapText="1"/>
    </xf>
    <xf numFmtId="3" fontId="8" fillId="0" borderId="13">
      <alignment horizontal="right"/>
    </xf>
    <xf numFmtId="0" fontId="8" fillId="0" borderId="0" applyAlignment="0"/>
    <xf numFmtId="3" fontId="27" fillId="0" borderId="0" applyFill="0" applyBorder="0">
      <alignment horizontal="left" wrapText="1" indent="3"/>
    </xf>
    <xf numFmtId="3" fontId="27" fillId="0" borderId="13">
      <alignment horizontal="right" indent="2"/>
    </xf>
    <xf numFmtId="3" fontId="7" fillId="0" borderId="13">
      <alignment horizontal="right"/>
    </xf>
    <xf numFmtId="3" fontId="28" fillId="0" borderId="0" applyBorder="0" applyAlignment="0">
      <alignment horizontal="left"/>
    </xf>
    <xf numFmtId="49" fontId="2" fillId="0" borderId="0" applyFill="0" applyBorder="0">
      <alignment horizontal="left" wrapText="1"/>
    </xf>
    <xf numFmtId="0" fontId="4" fillId="16" borderId="0">
      <protection hidden="1"/>
    </xf>
    <xf numFmtId="0" fontId="8" fillId="3" borderId="0" applyBorder="0">
      <alignment horizontal="left"/>
      <protection hidden="1"/>
    </xf>
    <xf numFmtId="3" fontId="4" fillId="17" borderId="0" applyBorder="0">
      <alignment horizontal="right" vertical="center" wrapText="1"/>
    </xf>
    <xf numFmtId="3" fontId="4" fillId="0" borderId="0" applyFill="0" applyBorder="0">
      <alignment horizontal="right"/>
    </xf>
    <xf numFmtId="4" fontId="4" fillId="0" borderId="0" applyFill="0" applyBorder="0">
      <alignment horizontal="right"/>
    </xf>
    <xf numFmtId="3" fontId="1" fillId="1" borderId="13"/>
    <xf numFmtId="0" fontId="4" fillId="18" borderId="0">
      <alignment wrapText="1"/>
    </xf>
    <xf numFmtId="49" fontId="6" fillId="5" borderId="0">
      <alignment horizontal="left" wrapText="1"/>
      <protection hidden="1"/>
    </xf>
    <xf numFmtId="0" fontId="7" fillId="0" borderId="20">
      <alignment horizontal="left" vertical="center"/>
    </xf>
    <xf numFmtId="0" fontId="7" fillId="0" borderId="19">
      <alignment horizontal="center" vertical="center"/>
    </xf>
    <xf numFmtId="3" fontId="4" fillId="0" borderId="0" applyFill="0" applyBorder="0">
      <alignment horizontal="right" wrapText="1"/>
    </xf>
    <xf numFmtId="0" fontId="2" fillId="0" borderId="0" applyBorder="0">
      <alignment horizontal="left" wrapText="1"/>
    </xf>
    <xf numFmtId="0" fontId="4" fillId="0" borderId="0" applyFill="0" applyBorder="0">
      <alignment horizontal="left" wrapText="1" indent="2"/>
    </xf>
    <xf numFmtId="0" fontId="29" fillId="0" borderId="1">
      <alignment horizontal="left" vertical="center"/>
    </xf>
    <xf numFmtId="49" fontId="2" fillId="0" borderId="0" applyProtection="0"/>
    <xf numFmtId="0" fontId="4" fillId="18" borderId="0" applyNumberFormat="0">
      <alignment wrapText="1"/>
    </xf>
    <xf numFmtId="49" fontId="6" fillId="5" borderId="0">
      <alignment horizontal="left" wrapText="1"/>
      <protection hidden="1"/>
    </xf>
    <xf numFmtId="0" fontId="3" fillId="0" borderId="0" applyFill="0" applyBorder="0">
      <alignment horizontal="left" wrapText="1" indent="1"/>
    </xf>
  </cellStyleXfs>
  <cellXfs count="472">
    <xf numFmtId="0" fontId="0" fillId="0" borderId="0" xfId="0"/>
    <xf numFmtId="49" fontId="6" fillId="5" borderId="0" xfId="2">
      <alignment horizontal="left" wrapText="1"/>
      <protection hidden="1"/>
    </xf>
    <xf numFmtId="166" fontId="4" fillId="3" borderId="0" xfId="1" applyNumberFormat="1" applyBorder="1">
      <alignment horizontal="left"/>
      <protection hidden="1"/>
    </xf>
    <xf numFmtId="14" fontId="4" fillId="3" borderId="0" xfId="1" applyNumberFormat="1" applyBorder="1">
      <alignment horizontal="left"/>
      <protection hidden="1"/>
    </xf>
    <xf numFmtId="49" fontId="4" fillId="3" borderId="0" xfId="1" applyNumberFormat="1" applyBorder="1">
      <alignment horizontal="left"/>
      <protection hidden="1"/>
    </xf>
    <xf numFmtId="0" fontId="0" fillId="3" borderId="0" xfId="1" applyFont="1" applyBorder="1" applyAlignment="1">
      <alignment horizontal="left" wrapText="1"/>
      <protection hidden="1"/>
    </xf>
    <xf numFmtId="3" fontId="0" fillId="0" borderId="0" xfId="0" applyNumberFormat="1"/>
    <xf numFmtId="0" fontId="2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49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/>
    <xf numFmtId="0" fontId="4" fillId="3" borderId="0" xfId="1" applyBorder="1">
      <alignment horizontal="left"/>
      <protection hidden="1"/>
    </xf>
    <xf numFmtId="0" fontId="0" fillId="0" borderId="0" xfId="0" applyNumberFormat="1"/>
    <xf numFmtId="0" fontId="0" fillId="4" borderId="0" xfId="0" applyFont="1" applyFill="1"/>
    <xf numFmtId="0" fontId="0" fillId="0" borderId="0" xfId="0" applyFont="1"/>
    <xf numFmtId="0" fontId="3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Border="1"/>
    <xf numFmtId="0" fontId="10" fillId="0" borderId="0" xfId="0" applyNumberFormat="1" applyFont="1"/>
    <xf numFmtId="0" fontId="11" fillId="6" borderId="1" xfId="0" applyFont="1" applyFill="1" applyBorder="1"/>
    <xf numFmtId="14" fontId="11" fillId="6" borderId="1" xfId="0" applyNumberFormat="1" applyFont="1" applyFill="1" applyBorder="1" applyAlignment="1">
      <alignment horizontal="left"/>
    </xf>
    <xf numFmtId="0" fontId="0" fillId="0" borderId="0" xfId="0"/>
    <xf numFmtId="0" fontId="11" fillId="6" borderId="4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2" borderId="0" xfId="0" applyFont="1" applyFill="1"/>
    <xf numFmtId="49" fontId="0" fillId="2" borderId="0" xfId="0" applyNumberFormat="1" applyFont="1" applyFill="1"/>
    <xf numFmtId="0" fontId="0" fillId="0" borderId="0" xfId="0"/>
    <xf numFmtId="0" fontId="0" fillId="0" borderId="0" xfId="0" applyAlignment="1">
      <alignment horizontal="left"/>
    </xf>
    <xf numFmtId="49" fontId="0" fillId="2" borderId="0" xfId="0" applyNumberFormat="1" applyFont="1" applyFill="1"/>
    <xf numFmtId="0" fontId="0" fillId="0" borderId="0" xfId="0"/>
    <xf numFmtId="0" fontId="0" fillId="3" borderId="0" xfId="1" applyFont="1" applyBorder="1">
      <alignment horizontal="left"/>
      <protection hidden="1"/>
    </xf>
    <xf numFmtId="0" fontId="11" fillId="6" borderId="0" xfId="0" applyFont="1" applyFill="1" applyBorder="1"/>
    <xf numFmtId="14" fontId="11" fillId="6" borderId="0" xfId="0" applyNumberFormat="1" applyFont="1" applyFill="1" applyBorder="1" applyAlignment="1">
      <alignment horizontal="left"/>
    </xf>
    <xf numFmtId="0" fontId="0" fillId="0" borderId="0" xfId="0" quotePrefix="1"/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9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quotePrefix="1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0" xfId="0" applyFill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49" fontId="0" fillId="0" borderId="6" xfId="0" applyNumberFormat="1" applyBorder="1" applyProtection="1">
      <protection locked="0"/>
    </xf>
    <xf numFmtId="49" fontId="2" fillId="0" borderId="5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49" fontId="2" fillId="0" borderId="7" xfId="0" applyNumberFormat="1" applyFont="1" applyBorder="1" applyProtection="1">
      <protection locked="0"/>
    </xf>
    <xf numFmtId="49" fontId="2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8" xfId="0" applyNumberForma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49" fontId="2" fillId="0" borderId="9" xfId="0" applyNumberFormat="1" applyFon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12" borderId="0" xfId="0" applyNumberFormat="1" applyFill="1"/>
    <xf numFmtId="49" fontId="0" fillId="12" borderId="0" xfId="0" applyNumberFormat="1" applyFill="1"/>
    <xf numFmtId="0" fontId="0" fillId="12" borderId="0" xfId="0" applyFill="1"/>
    <xf numFmtId="49" fontId="16" fillId="12" borderId="1" xfId="0" applyNumberFormat="1" applyFont="1" applyFill="1" applyBorder="1" applyAlignment="1">
      <alignment horizontal="center" vertical="center"/>
    </xf>
    <xf numFmtId="49" fontId="16" fillId="12" borderId="1" xfId="0" applyNumberFormat="1" applyFont="1" applyFill="1" applyBorder="1" applyAlignment="1">
      <alignment horizontal="center"/>
    </xf>
    <xf numFmtId="49" fontId="0" fillId="12" borderId="0" xfId="0" applyNumberFormat="1" applyFill="1" applyBorder="1"/>
    <xf numFmtId="49" fontId="0" fillId="12" borderId="0" xfId="0" applyNumberFormat="1" applyFill="1" applyAlignment="1">
      <alignment horizontal="left"/>
    </xf>
    <xf numFmtId="167" fontId="0" fillId="12" borderId="0" xfId="0" applyNumberFormat="1" applyFill="1" applyAlignment="1">
      <alignment horizontal="left"/>
    </xf>
    <xf numFmtId="0" fontId="5" fillId="12" borderId="1" xfId="0" applyNumberFormat="1" applyFont="1" applyFill="1" applyBorder="1" applyAlignment="1" applyProtection="1">
      <alignment horizontal="center" vertical="center"/>
      <protection locked="0"/>
    </xf>
    <xf numFmtId="0" fontId="2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NumberFormat="1" applyFill="1" applyBorder="1" applyAlignment="1" applyProtection="1">
      <alignment horizontal="center" vertical="center"/>
      <protection locked="0"/>
    </xf>
    <xf numFmtId="0" fontId="0" fillId="12" borderId="1" xfId="0" applyNumberFormat="1" applyFill="1" applyBorder="1" applyAlignment="1" applyProtection="1">
      <alignment horizontal="center" vertical="center" wrapText="1"/>
      <protection locked="0"/>
    </xf>
    <xf numFmtId="0" fontId="14" fillId="12" borderId="0" xfId="0" applyFont="1" applyFill="1" applyAlignment="1">
      <alignment horizontal="center"/>
    </xf>
    <xf numFmtId="49" fontId="5" fillId="13" borderId="1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 applyProtection="1">
      <alignment horizontal="center" vertical="center"/>
      <protection locked="0"/>
    </xf>
    <xf numFmtId="0" fontId="5" fillId="13" borderId="1" xfId="0" applyNumberFormat="1" applyFont="1" applyFill="1" applyBorder="1" applyAlignment="1" applyProtection="1">
      <alignment horizontal="center" vertical="center"/>
    </xf>
    <xf numFmtId="0" fontId="17" fillId="13" borderId="1" xfId="0" applyNumberFormat="1" applyFont="1" applyFill="1" applyBorder="1" applyAlignment="1">
      <alignment horizontal="center" vertical="center"/>
    </xf>
    <xf numFmtId="0" fontId="18" fillId="12" borderId="0" xfId="0" applyNumberFormat="1" applyFont="1" applyFill="1"/>
    <xf numFmtId="0" fontId="0" fillId="0" borderId="0" xfId="0"/>
    <xf numFmtId="14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19" fillId="14" borderId="0" xfId="0" applyNumberFormat="1" applyFont="1" applyFill="1"/>
    <xf numFmtId="0" fontId="2" fillId="12" borderId="0" xfId="0" applyFont="1" applyFill="1"/>
    <xf numFmtId="49" fontId="2" fillId="12" borderId="0" xfId="0" applyNumberFormat="1" applyFont="1" applyFill="1"/>
    <xf numFmtId="0" fontId="2" fillId="12" borderId="0" xfId="0" applyFont="1" applyFill="1" applyAlignment="1">
      <alignment horizontal="center"/>
    </xf>
    <xf numFmtId="0" fontId="1" fillId="0" borderId="0" xfId="0" applyFont="1" applyBorder="1"/>
    <xf numFmtId="49" fontId="0" fillId="0" borderId="0" xfId="0" quotePrefix="1" applyNumberFormat="1" applyProtection="1">
      <protection locked="0"/>
    </xf>
    <xf numFmtId="49" fontId="16" fillId="12" borderId="14" xfId="0" applyNumberFormat="1" applyFont="1" applyFill="1" applyBorder="1" applyAlignment="1">
      <alignment horizontal="center" vertical="center"/>
    </xf>
    <xf numFmtId="49" fontId="21" fillId="12" borderId="0" xfId="0" applyNumberFormat="1" applyFont="1" applyFill="1" applyBorder="1"/>
    <xf numFmtId="49" fontId="21" fillId="12" borderId="0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19" fillId="14" borderId="0" xfId="0" applyNumberFormat="1" applyFont="1" applyFill="1" applyAlignment="1">
      <alignment horizontal="center"/>
    </xf>
    <xf numFmtId="49" fontId="0" fillId="12" borderId="0" xfId="0" applyNumberFormat="1" applyFill="1" applyAlignment="1">
      <alignment horizontal="center"/>
    </xf>
    <xf numFmtId="0" fontId="1" fillId="0" borderId="0" xfId="0" applyNumberFormat="1" applyFont="1" applyFill="1" applyBorder="1"/>
    <xf numFmtId="0" fontId="23" fillId="12" borderId="0" xfId="0" applyNumberFormat="1" applyFont="1" applyFill="1"/>
    <xf numFmtId="0" fontId="11" fillId="2" borderId="4" xfId="0" applyFont="1" applyFill="1" applyBorder="1"/>
    <xf numFmtId="0" fontId="21" fillId="12" borderId="0" xfId="0" applyNumberFormat="1" applyFont="1" applyFill="1" applyBorder="1" applyAlignment="1">
      <alignment horizontal="right"/>
    </xf>
    <xf numFmtId="0" fontId="21" fillId="12" borderId="0" xfId="0" applyNumberFormat="1" applyFont="1" applyFill="1" applyBorder="1" applyAlignment="1">
      <alignment horizontal="left"/>
    </xf>
    <xf numFmtId="0" fontId="21" fillId="12" borderId="0" xfId="0" applyNumberFormat="1" applyFont="1" applyFill="1" applyBorder="1"/>
    <xf numFmtId="0" fontId="21" fillId="12" borderId="0" xfId="0" applyNumberFormat="1" applyFont="1" applyFill="1"/>
    <xf numFmtId="49" fontId="21" fillId="12" borderId="0" xfId="0" applyNumberFormat="1" applyFont="1" applyFill="1"/>
    <xf numFmtId="49" fontId="21" fillId="12" borderId="0" xfId="0" applyNumberFormat="1" applyFont="1" applyFill="1" applyAlignment="1">
      <alignment horizontal="left"/>
    </xf>
    <xf numFmtId="0" fontId="0" fillId="12" borderId="1" xfId="0" quotePrefix="1" applyNumberFormat="1" applyFill="1" applyBorder="1" applyAlignment="1" applyProtection="1">
      <alignment horizontal="center" vertical="center" wrapText="1"/>
      <protection locked="0"/>
    </xf>
    <xf numFmtId="0" fontId="24" fillId="13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49" fontId="20" fillId="12" borderId="0" xfId="0" applyNumberFormat="1" applyFont="1" applyFill="1" applyBorder="1" applyAlignment="1"/>
    <xf numFmtId="0" fontId="0" fillId="12" borderId="0" xfId="0" applyNumberFormat="1" applyFill="1" applyBorder="1"/>
    <xf numFmtId="49" fontId="0" fillId="0" borderId="0" xfId="0" applyNumberFormat="1" applyBorder="1"/>
    <xf numFmtId="49" fontId="5" fillId="2" borderId="1" xfId="0" applyNumberFormat="1" applyFont="1" applyFill="1" applyBorder="1" applyAlignment="1">
      <alignment horizontal="center" vertical="center"/>
    </xf>
    <xf numFmtId="49" fontId="0" fillId="12" borderId="15" xfId="0" applyNumberFormat="1" applyFill="1" applyBorder="1" applyAlignment="1">
      <alignment horizontal="left"/>
    </xf>
    <xf numFmtId="49" fontId="20" fillId="12" borderId="5" xfId="0" applyNumberFormat="1" applyFont="1" applyFill="1" applyBorder="1" applyAlignment="1">
      <alignment horizontal="center"/>
    </xf>
    <xf numFmtId="49" fontId="0" fillId="12" borderId="7" xfId="0" applyNumberFormat="1" applyFill="1" applyBorder="1"/>
    <xf numFmtId="49" fontId="20" fillId="12" borderId="15" xfId="0" applyNumberFormat="1" applyFont="1" applyFill="1" applyBorder="1" applyAlignment="1">
      <alignment horizontal="center"/>
    </xf>
    <xf numFmtId="49" fontId="0" fillId="12" borderId="8" xfId="0" applyNumberFormat="1" applyFill="1" applyBorder="1"/>
    <xf numFmtId="49" fontId="20" fillId="12" borderId="9" xfId="0" applyNumberFormat="1" applyFont="1" applyFill="1" applyBorder="1" applyAlignment="1"/>
    <xf numFmtId="49" fontId="22" fillId="12" borderId="14" xfId="0" applyNumberFormat="1" applyFont="1" applyFill="1" applyBorder="1" applyAlignment="1">
      <alignment horizontal="center"/>
    </xf>
    <xf numFmtId="49" fontId="22" fillId="12" borderId="15" xfId="0" applyNumberFormat="1" applyFont="1" applyFill="1" applyBorder="1" applyAlignment="1">
      <alignment horizontal="center"/>
    </xf>
    <xf numFmtId="49" fontId="22" fillId="12" borderId="1" xfId="0" applyNumberFormat="1" applyFont="1" applyFill="1" applyBorder="1" applyAlignment="1">
      <alignment horizontal="center"/>
    </xf>
    <xf numFmtId="49" fontId="16" fillId="1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top"/>
    </xf>
    <xf numFmtId="49" fontId="2" fillId="0" borderId="0" xfId="0" quotePrefix="1" applyNumberFormat="1" applyFont="1"/>
    <xf numFmtId="49" fontId="0" fillId="0" borderId="0" xfId="0" quotePrefix="1" applyNumberFormat="1"/>
    <xf numFmtId="49" fontId="0" fillId="0" borderId="0" xfId="0" quotePrefix="1" applyNumberFormat="1" applyAlignment="1">
      <alignment horizontal="left"/>
    </xf>
    <xf numFmtId="49" fontId="25" fillId="0" borderId="0" xfId="0" applyNumberFormat="1" applyFont="1" applyProtection="1">
      <protection locked="0"/>
    </xf>
    <xf numFmtId="0" fontId="0" fillId="12" borderId="15" xfId="0" applyNumberFormat="1" applyFill="1" applyBorder="1" applyAlignment="1">
      <alignment horizontal="left"/>
    </xf>
    <xf numFmtId="0" fontId="0" fillId="12" borderId="16" xfId="0" applyNumberFormat="1" applyFill="1" applyBorder="1"/>
    <xf numFmtId="0" fontId="0" fillId="12" borderId="1" xfId="0" applyNumberFormat="1" applyFill="1" applyBorder="1" applyAlignment="1">
      <alignment horizontal="left"/>
    </xf>
    <xf numFmtId="49" fontId="16" fillId="12" borderId="8" xfId="0" applyNumberFormat="1" applyFont="1" applyFill="1" applyBorder="1" applyAlignment="1">
      <alignment horizontal="center" vertical="center"/>
    </xf>
    <xf numFmtId="0" fontId="16" fillId="12" borderId="14" xfId="0" applyNumberFormat="1" applyFont="1" applyFill="1" applyBorder="1" applyAlignment="1">
      <alignment horizontal="center" vertical="center"/>
    </xf>
    <xf numFmtId="0" fontId="16" fillId="12" borderId="1" xfId="0" applyNumberFormat="1" applyFont="1" applyFill="1" applyBorder="1" applyAlignment="1">
      <alignment horizontal="center" vertical="center"/>
    </xf>
    <xf numFmtId="49" fontId="22" fillId="12" borderId="0" xfId="0" applyNumberFormat="1" applyFont="1" applyFill="1"/>
    <xf numFmtId="49" fontId="0" fillId="0" borderId="0" xfId="0" applyNumberFormat="1" applyFill="1"/>
    <xf numFmtId="0" fontId="13" fillId="0" borderId="0" xfId="0" applyNumberFormat="1" applyFont="1" applyBorder="1" applyAlignment="1">
      <alignment vertical="top"/>
    </xf>
    <xf numFmtId="0" fontId="12" fillId="0" borderId="18" xfId="0" applyNumberFormat="1" applyFont="1" applyFill="1" applyBorder="1" applyAlignment="1">
      <alignment vertical="top"/>
    </xf>
    <xf numFmtId="0" fontId="1" fillId="0" borderId="18" xfId="0" applyNumberFormat="1" applyFont="1" applyFill="1" applyBorder="1"/>
    <xf numFmtId="170" fontId="1" fillId="0" borderId="0" xfId="17" applyNumberFormat="1" applyFont="1"/>
    <xf numFmtId="0" fontId="36" fillId="20" borderId="0" xfId="0" applyFont="1" applyFill="1" applyAlignment="1">
      <alignment vertical="center" wrapText="1"/>
    </xf>
    <xf numFmtId="0" fontId="36" fillId="20" borderId="0" xfId="0" applyFont="1" applyFill="1" applyAlignment="1">
      <alignment horizontal="right" vertical="center" wrapText="1"/>
    </xf>
    <xf numFmtId="0" fontId="36" fillId="20" borderId="23" xfId="0" applyFont="1" applyFill="1" applyBorder="1" applyAlignment="1">
      <alignment vertical="center" wrapText="1"/>
    </xf>
    <xf numFmtId="0" fontId="36" fillId="20" borderId="23" xfId="0" applyFont="1" applyFill="1" applyBorder="1" applyAlignment="1">
      <alignment horizontal="right" vertical="center" wrapText="1"/>
    </xf>
    <xf numFmtId="14" fontId="36" fillId="20" borderId="23" xfId="0" applyNumberFormat="1" applyFont="1" applyFill="1" applyBorder="1" applyAlignment="1">
      <alignment horizontal="right" vertical="center" wrapText="1"/>
    </xf>
    <xf numFmtId="0" fontId="0" fillId="19" borderId="0" xfId="0" applyFont="1" applyFill="1" applyAlignment="1">
      <alignment horizontal="right" vertical="center" wrapText="1"/>
    </xf>
    <xf numFmtId="0" fontId="0" fillId="20" borderId="0" xfId="0" applyFont="1" applyFill="1" applyAlignment="1">
      <alignment horizontal="right" vertical="center" wrapText="1"/>
    </xf>
    <xf numFmtId="0" fontId="0" fillId="19" borderId="23" xfId="0" applyFont="1" applyFill="1" applyBorder="1" applyAlignment="1">
      <alignment horizontal="right" vertical="center" wrapText="1"/>
    </xf>
    <xf numFmtId="0" fontId="0" fillId="20" borderId="23" xfId="0" applyFont="1" applyFill="1" applyBorder="1" applyAlignment="1">
      <alignment horizontal="right" vertical="center" wrapText="1"/>
    </xf>
    <xf numFmtId="9" fontId="0" fillId="19" borderId="0" xfId="0" applyNumberFormat="1" applyFont="1" applyFill="1" applyAlignment="1">
      <alignment horizontal="right" vertical="center" wrapText="1"/>
    </xf>
    <xf numFmtId="9" fontId="0" fillId="2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 wrapText="1"/>
    </xf>
    <xf numFmtId="0" fontId="0" fillId="19" borderId="25" xfId="0" applyFont="1" applyFill="1" applyBorder="1" applyAlignment="1">
      <alignment horizontal="right" vertical="center" wrapText="1"/>
    </xf>
    <xf numFmtId="0" fontId="0" fillId="20" borderId="25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37" fillId="0" borderId="23" xfId="0" applyFont="1" applyBorder="1" applyAlignment="1">
      <alignment horizontal="right" vertical="center" wrapText="1"/>
    </xf>
    <xf numFmtId="3" fontId="32" fillId="0" borderId="0" xfId="0" applyNumberFormat="1" applyFont="1" applyAlignment="1">
      <alignment horizontal="left"/>
    </xf>
    <xf numFmtId="3" fontId="11" fillId="6" borderId="0" xfId="0" applyNumberFormat="1" applyFont="1" applyFill="1" applyBorder="1"/>
    <xf numFmtId="3" fontId="30" fillId="6" borderId="0" xfId="0" applyNumberFormat="1" applyFont="1" applyFill="1" applyBorder="1"/>
    <xf numFmtId="3" fontId="33" fillId="0" borderId="0" xfId="0" applyNumberFormat="1" applyFont="1" applyAlignment="1">
      <alignment horizontal="right" vertical="center" wrapText="1"/>
    </xf>
    <xf numFmtId="3" fontId="33" fillId="0" borderId="21" xfId="0" applyNumberFormat="1" applyFont="1" applyBorder="1" applyAlignment="1">
      <alignment horizontal="right" vertical="center" wrapText="1"/>
    </xf>
    <xf numFmtId="0" fontId="33" fillId="0" borderId="22" xfId="0" applyFont="1" applyBorder="1" applyAlignment="1">
      <alignment horizontal="right" vertical="center" wrapText="1"/>
    </xf>
    <xf numFmtId="0" fontId="33" fillId="0" borderId="21" xfId="0" applyFont="1" applyBorder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3" fillId="20" borderId="22" xfId="0" applyFont="1" applyFill="1" applyBorder="1" applyAlignment="1">
      <alignment horizontal="right" vertical="center" wrapText="1"/>
    </xf>
    <xf numFmtId="0" fontId="33" fillId="20" borderId="21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left" vertical="center"/>
    </xf>
    <xf numFmtId="0" fontId="31" fillId="6" borderId="0" xfId="0" applyFont="1" applyFill="1" applyBorder="1" applyProtection="1">
      <protection locked="0"/>
    </xf>
    <xf numFmtId="0" fontId="31" fillId="0" borderId="0" xfId="0" applyFont="1" applyFill="1" applyBorder="1" applyProtection="1">
      <protection locked="0"/>
    </xf>
    <xf numFmtId="17" fontId="31" fillId="6" borderId="0" xfId="0" applyNumberFormat="1" applyFont="1" applyFill="1" applyBorder="1" applyAlignment="1" applyProtection="1">
      <alignment horizontal="right"/>
      <protection locked="0"/>
    </xf>
    <xf numFmtId="0" fontId="38" fillId="6" borderId="0" xfId="0" applyFont="1" applyFill="1"/>
    <xf numFmtId="0" fontId="36" fillId="6" borderId="27" xfId="0" applyFont="1" applyFill="1" applyBorder="1" applyProtection="1">
      <protection locked="0"/>
    </xf>
    <xf numFmtId="0" fontId="31" fillId="0" borderId="27" xfId="0" applyFont="1" applyFill="1" applyBorder="1" applyAlignment="1" applyProtection="1">
      <alignment horizontal="right"/>
      <protection locked="0"/>
    </xf>
    <xf numFmtId="3" fontId="31" fillId="6" borderId="27" xfId="0" applyNumberFormat="1" applyFont="1" applyFill="1" applyBorder="1" applyAlignment="1" applyProtection="1">
      <alignment horizontal="right" wrapText="1"/>
      <protection locked="0"/>
    </xf>
    <xf numFmtId="1" fontId="31" fillId="6" borderId="27" xfId="0" applyNumberFormat="1" applyFont="1" applyFill="1" applyBorder="1" applyAlignment="1" applyProtection="1">
      <alignment horizontal="right" wrapText="1"/>
      <protection locked="0"/>
    </xf>
    <xf numFmtId="0" fontId="11" fillId="6" borderId="0" xfId="0" applyFont="1" applyFill="1" applyBorder="1" applyProtection="1">
      <protection locked="0"/>
    </xf>
    <xf numFmtId="0" fontId="11" fillId="6" borderId="0" xfId="0" applyFont="1" applyFill="1" applyAlignment="1">
      <alignment horizontal="right"/>
    </xf>
    <xf numFmtId="0" fontId="0" fillId="6" borderId="0" xfId="0" applyFill="1" applyBorder="1" applyAlignment="1" applyProtection="1">
      <alignment horizontal="left"/>
      <protection locked="0"/>
    </xf>
    <xf numFmtId="0" fontId="11" fillId="6" borderId="0" xfId="0" applyFont="1" applyFill="1" applyBorder="1" applyAlignment="1" applyProtection="1">
      <alignment horizontal="left" indent="1"/>
      <protection locked="0"/>
    </xf>
    <xf numFmtId="0" fontId="0" fillId="6" borderId="0" xfId="0" applyFill="1" applyBorder="1" applyProtection="1">
      <protection locked="0"/>
    </xf>
    <xf numFmtId="0" fontId="6" fillId="6" borderId="0" xfId="0" applyFont="1" applyFill="1" applyAlignment="1">
      <alignment horizontal="right"/>
    </xf>
    <xf numFmtId="0" fontId="11" fillId="6" borderId="0" xfId="0" applyFont="1" applyFill="1" applyBorder="1" applyAlignment="1" applyProtection="1">
      <protection locked="0"/>
    </xf>
    <xf numFmtId="0" fontId="11" fillId="6" borderId="28" xfId="0" applyFont="1" applyFill="1" applyBorder="1" applyAlignment="1" applyProtection="1">
      <alignment horizontal="left"/>
      <protection locked="0"/>
    </xf>
    <xf numFmtId="0" fontId="11" fillId="6" borderId="28" xfId="0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>
      <alignment horizontal="right"/>
    </xf>
    <xf numFmtId="0" fontId="11" fillId="6" borderId="28" xfId="0" applyFont="1" applyFill="1" applyBorder="1" applyProtection="1">
      <protection locked="0"/>
    </xf>
    <xf numFmtId="0" fontId="39" fillId="6" borderId="27" xfId="0" applyFont="1" applyFill="1" applyBorder="1" applyAlignment="1" applyProtection="1">
      <alignment horizontal="left" indent="1"/>
      <protection locked="0"/>
    </xf>
    <xf numFmtId="0" fontId="11" fillId="6" borderId="27" xfId="0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 applyProtection="1">
      <alignment horizontal="left" indent="3"/>
      <protection locked="0"/>
    </xf>
    <xf numFmtId="0" fontId="11" fillId="0" borderId="0" xfId="0" applyFont="1" applyFill="1" applyBorder="1" applyProtection="1">
      <protection locked="0"/>
    </xf>
    <xf numFmtId="0" fontId="11" fillId="6" borderId="29" xfId="0" applyFont="1" applyFill="1" applyBorder="1" applyAlignment="1" applyProtection="1">
      <alignment horizontal="left" indent="3"/>
      <protection locked="0"/>
    </xf>
    <xf numFmtId="0" fontId="12" fillId="0" borderId="29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horizontal="right"/>
    </xf>
    <xf numFmtId="172" fontId="39" fillId="0" borderId="0" xfId="0" applyNumberFormat="1" applyFont="1" applyFill="1" applyBorder="1" applyProtection="1">
      <protection locked="0"/>
    </xf>
    <xf numFmtId="171" fontId="0" fillId="0" borderId="0" xfId="0" applyNumberFormat="1" applyFont="1" applyFill="1" applyAlignment="1">
      <alignment horizontal="right"/>
    </xf>
    <xf numFmtId="0" fontId="11" fillId="6" borderId="29" xfId="0" applyFont="1" applyFill="1" applyBorder="1" applyAlignment="1" applyProtection="1">
      <alignment horizontal="left" indent="1"/>
      <protection locked="0"/>
    </xf>
    <xf numFmtId="0" fontId="1" fillId="0" borderId="29" xfId="0" applyNumberFormat="1" applyFont="1" applyFill="1" applyBorder="1"/>
    <xf numFmtId="3" fontId="16" fillId="0" borderId="29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right"/>
    </xf>
    <xf numFmtId="0" fontId="4" fillId="0" borderId="0" xfId="1" applyFont="1" applyFill="1">
      <alignment horizontal="left"/>
      <protection hidden="1"/>
    </xf>
    <xf numFmtId="0" fontId="1" fillId="0" borderId="0" xfId="0" applyFont="1" applyFill="1" applyAlignment="1">
      <alignment horizontal="left"/>
    </xf>
    <xf numFmtId="9" fontId="1" fillId="0" borderId="0" xfId="0" applyNumberFormat="1" applyFont="1" applyFill="1" applyBorder="1"/>
    <xf numFmtId="0" fontId="16" fillId="0" borderId="0" xfId="0" applyFont="1" applyFill="1" applyAlignment="1">
      <alignment horizontal="right"/>
    </xf>
    <xf numFmtId="0" fontId="16" fillId="0" borderId="29" xfId="0" applyFont="1" applyFill="1" applyBorder="1" applyAlignment="1">
      <alignment horizontal="right"/>
    </xf>
    <xf numFmtId="10" fontId="1" fillId="0" borderId="29" xfId="0" applyNumberFormat="1" applyFont="1" applyFill="1" applyBorder="1"/>
    <xf numFmtId="3" fontId="11" fillId="6" borderId="0" xfId="0" applyNumberFormat="1" applyFont="1" applyFill="1" applyBorder="1" applyProtection="1">
      <protection locked="0"/>
    </xf>
    <xf numFmtId="3" fontId="11" fillId="0" borderId="0" xfId="0" applyNumberFormat="1" applyFont="1" applyFill="1" applyBorder="1" applyProtection="1">
      <protection locked="0"/>
    </xf>
    <xf numFmtId="3" fontId="11" fillId="0" borderId="0" xfId="0" applyNumberFormat="1" applyFont="1" applyFill="1" applyBorder="1" applyAlignment="1" applyProtection="1">
      <protection locked="0"/>
    </xf>
    <xf numFmtId="3" fontId="11" fillId="6" borderId="28" xfId="0" applyNumberFormat="1" applyFont="1" applyFill="1" applyBorder="1" applyProtection="1">
      <protection locked="0"/>
    </xf>
    <xf numFmtId="3" fontId="11" fillId="0" borderId="28" xfId="0" applyNumberFormat="1" applyFont="1" applyFill="1" applyBorder="1" applyProtection="1">
      <protection locked="0"/>
    </xf>
    <xf numFmtId="3" fontId="39" fillId="6" borderId="27" xfId="0" applyNumberFormat="1" applyFont="1" applyFill="1" applyBorder="1" applyProtection="1">
      <protection locked="0"/>
    </xf>
    <xf numFmtId="3" fontId="39" fillId="0" borderId="27" xfId="0" applyNumberFormat="1" applyFont="1" applyFill="1" applyBorder="1" applyProtection="1">
      <protection locked="0"/>
    </xf>
    <xf numFmtId="3" fontId="11" fillId="6" borderId="29" xfId="0" applyNumberFormat="1" applyFont="1" applyFill="1" applyBorder="1" applyProtection="1">
      <protection locked="0"/>
    </xf>
    <xf numFmtId="3" fontId="11" fillId="0" borderId="29" xfId="0" applyNumberFormat="1" applyFont="1" applyFill="1" applyBorder="1" applyProtection="1">
      <protection locked="0"/>
    </xf>
    <xf numFmtId="3" fontId="39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Alignment="1">
      <alignment horizontal="right"/>
    </xf>
    <xf numFmtId="3" fontId="11" fillId="0" borderId="3" xfId="0" applyNumberFormat="1" applyFont="1" applyFill="1" applyBorder="1" applyProtection="1">
      <protection locked="0"/>
    </xf>
    <xf numFmtId="0" fontId="11" fillId="6" borderId="3" xfId="0" applyFont="1" applyFill="1" applyBorder="1" applyAlignment="1" applyProtection="1">
      <alignment horizontal="left"/>
      <protection locked="0"/>
    </xf>
    <xf numFmtId="0" fontId="11" fillId="6" borderId="3" xfId="0" applyFont="1" applyFill="1" applyBorder="1" applyAlignment="1" applyProtection="1">
      <alignment horizontal="right"/>
      <protection locked="0"/>
    </xf>
    <xf numFmtId="0" fontId="11" fillId="6" borderId="3" xfId="0" applyFont="1" applyFill="1" applyBorder="1" applyProtection="1">
      <protection locked="0"/>
    </xf>
    <xf numFmtId="0" fontId="11" fillId="6" borderId="3" xfId="0" applyFont="1" applyFill="1" applyBorder="1" applyAlignment="1">
      <alignment horizontal="right"/>
    </xf>
    <xf numFmtId="0" fontId="39" fillId="6" borderId="0" xfId="0" applyFont="1" applyFill="1" applyBorder="1" applyAlignment="1" applyProtection="1">
      <alignment horizontal="left" indent="1"/>
      <protection locked="0"/>
    </xf>
    <xf numFmtId="0" fontId="11" fillId="6" borderId="0" xfId="0" applyFont="1" applyFill="1" applyBorder="1" applyAlignment="1" applyProtection="1">
      <alignment horizontal="right"/>
      <protection locked="0"/>
    </xf>
    <xf numFmtId="0" fontId="11" fillId="6" borderId="17" xfId="0" applyFont="1" applyFill="1" applyBorder="1" applyAlignment="1" applyProtection="1">
      <alignment horizontal="left" indent="3"/>
      <protection locked="0"/>
    </xf>
    <xf numFmtId="0" fontId="11" fillId="6" borderId="17" xfId="0" applyFont="1" applyFill="1" applyBorder="1" applyProtection="1">
      <protection locked="0"/>
    </xf>
    <xf numFmtId="0" fontId="11" fillId="0" borderId="17" xfId="0" applyFont="1" applyFill="1" applyBorder="1" applyProtection="1">
      <protection locked="0"/>
    </xf>
    <xf numFmtId="3" fontId="11" fillId="0" borderId="17" xfId="0" applyNumberFormat="1" applyFont="1" applyFill="1" applyBorder="1" applyProtection="1">
      <protection locked="0"/>
    </xf>
    <xf numFmtId="0" fontId="11" fillId="6" borderId="18" xfId="0" applyFont="1" applyFill="1" applyBorder="1" applyAlignment="1" applyProtection="1">
      <alignment horizontal="left" indent="3"/>
      <protection locked="0"/>
    </xf>
    <xf numFmtId="3" fontId="11" fillId="0" borderId="18" xfId="0" applyNumberFormat="1" applyFont="1" applyFill="1" applyBorder="1" applyProtection="1">
      <protection locked="0"/>
    </xf>
    <xf numFmtId="3" fontId="16" fillId="0" borderId="0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 horizontal="left" vertical="center"/>
    </xf>
    <xf numFmtId="0" fontId="13" fillId="0" borderId="17" xfId="0" applyNumberFormat="1" applyFont="1" applyBorder="1" applyAlignment="1">
      <alignment vertical="top"/>
    </xf>
    <xf numFmtId="3" fontId="16" fillId="0" borderId="17" xfId="0" applyNumberFormat="1" applyFont="1" applyFill="1" applyBorder="1" applyAlignment="1">
      <alignment horizontal="right"/>
    </xf>
    <xf numFmtId="0" fontId="1" fillId="0" borderId="17" xfId="0" applyFont="1" applyBorder="1"/>
    <xf numFmtId="0" fontId="11" fillId="6" borderId="18" xfId="0" applyFont="1" applyFill="1" applyBorder="1" applyAlignment="1" applyProtection="1">
      <alignment horizontal="left" indent="1"/>
      <protection locked="0"/>
    </xf>
    <xf numFmtId="3" fontId="16" fillId="0" borderId="18" xfId="0" applyNumberFormat="1" applyFont="1" applyFill="1" applyBorder="1" applyAlignment="1">
      <alignment horizontal="right"/>
    </xf>
    <xf numFmtId="0" fontId="40" fillId="6" borderId="0" xfId="0" applyFont="1" applyFill="1" applyBorder="1" applyProtection="1">
      <protection locked="0"/>
    </xf>
    <xf numFmtId="0" fontId="16" fillId="0" borderId="18" xfId="0" applyFont="1" applyFill="1" applyBorder="1" applyAlignment="1">
      <alignment horizontal="right"/>
    </xf>
    <xf numFmtId="9" fontId="1" fillId="0" borderId="18" xfId="0" applyNumberFormat="1" applyFont="1" applyFill="1" applyBorder="1"/>
    <xf numFmtId="2" fontId="11" fillId="6" borderId="3" xfId="0" applyNumberFormat="1" applyFont="1" applyFill="1" applyBorder="1" applyAlignment="1" applyProtection="1">
      <alignment horizontal="left"/>
      <protection locked="0"/>
    </xf>
    <xf numFmtId="2" fontId="11" fillId="6" borderId="3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Fill="1" applyBorder="1"/>
    <xf numFmtId="9" fontId="0" fillId="0" borderId="18" xfId="0" applyNumberFormat="1" applyFont="1" applyFill="1" applyBorder="1"/>
    <xf numFmtId="0" fontId="16" fillId="0" borderId="0" xfId="0" applyFont="1" applyAlignment="1">
      <alignment horizontal="right"/>
    </xf>
    <xf numFmtId="0" fontId="11" fillId="6" borderId="0" xfId="0" applyFont="1" applyFill="1" applyBorder="1" applyAlignment="1" applyProtection="1">
      <alignment horizontal="left"/>
      <protection locked="0"/>
    </xf>
    <xf numFmtId="0" fontId="41" fillId="0" borderId="0" xfId="0" applyNumberFormat="1" applyFont="1" applyFill="1" applyBorder="1" applyAlignment="1">
      <alignment vertical="top"/>
    </xf>
    <xf numFmtId="3" fontId="31" fillId="6" borderId="0" xfId="0" applyNumberFormat="1" applyFont="1" applyFill="1" applyBorder="1" applyAlignment="1" applyProtection="1">
      <alignment horizontal="right" wrapText="1"/>
      <protection locked="0"/>
    </xf>
    <xf numFmtId="1" fontId="31" fillId="6" borderId="0" xfId="0" applyNumberFormat="1" applyFont="1" applyFill="1" applyBorder="1" applyAlignment="1" applyProtection="1">
      <alignment horizontal="right" wrapText="1"/>
      <protection locked="0"/>
    </xf>
    <xf numFmtId="0" fontId="11" fillId="6" borderId="17" xfId="0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/>
    <xf numFmtId="0" fontId="1" fillId="0" borderId="3" xfId="0" applyNumberFormat="1" applyFont="1" applyFill="1" applyBorder="1"/>
    <xf numFmtId="3" fontId="16" fillId="0" borderId="3" xfId="0" applyNumberFormat="1" applyFont="1" applyFill="1" applyBorder="1" applyAlignment="1">
      <alignment horizontal="right"/>
    </xf>
    <xf numFmtId="0" fontId="4" fillId="0" borderId="0" xfId="1" applyFont="1" applyFill="1" applyBorder="1">
      <alignment horizontal="left"/>
      <protection hidden="1"/>
    </xf>
    <xf numFmtId="0" fontId="1" fillId="0" borderId="0" xfId="0" applyFont="1" applyFill="1" applyBorder="1" applyAlignment="1">
      <alignment horizontal="left"/>
    </xf>
    <xf numFmtId="170" fontId="1" fillId="0" borderId="0" xfId="17" applyNumberFormat="1" applyFont="1" applyFill="1"/>
    <xf numFmtId="171" fontId="0" fillId="0" borderId="0" xfId="0" applyNumberFormat="1" applyFont="1" applyFill="1" applyBorder="1" applyAlignment="1">
      <alignment horizontal="right"/>
    </xf>
    <xf numFmtId="3" fontId="31" fillId="0" borderId="27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/>
    <xf numFmtId="1" fontId="31" fillId="0" borderId="27" xfId="0" applyNumberFormat="1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>
      <alignment horizontal="right"/>
    </xf>
    <xf numFmtId="1" fontId="11" fillId="0" borderId="3" xfId="0" applyNumberFormat="1" applyFont="1" applyFill="1" applyBorder="1" applyProtection="1">
      <protection locked="0"/>
    </xf>
    <xf numFmtId="1" fontId="31" fillId="0" borderId="0" xfId="0" applyNumberFormat="1" applyFont="1" applyFill="1" applyBorder="1" applyAlignment="1" applyProtection="1">
      <alignment horizontal="right" wrapText="1"/>
      <protection locked="0"/>
    </xf>
    <xf numFmtId="3" fontId="31" fillId="0" borderId="0" xfId="0" applyNumberFormat="1" applyFont="1" applyFill="1" applyBorder="1" applyAlignment="1" applyProtection="1">
      <alignment horizontal="right" wrapText="1"/>
      <protection locked="0"/>
    </xf>
    <xf numFmtId="3" fontId="31" fillId="0" borderId="18" xfId="0" applyNumberFormat="1" applyFont="1" applyFill="1" applyBorder="1" applyAlignment="1" applyProtection="1">
      <alignment horizontal="right" wrapText="1"/>
      <protection locked="0"/>
    </xf>
    <xf numFmtId="1" fontId="31" fillId="0" borderId="18" xfId="0" applyNumberFormat="1" applyFont="1" applyFill="1" applyBorder="1" applyAlignment="1" applyProtection="1">
      <alignment horizontal="right" wrapText="1"/>
      <protection locked="0"/>
    </xf>
    <xf numFmtId="1" fontId="31" fillId="6" borderId="18" xfId="0" applyNumberFormat="1" applyFont="1" applyFill="1" applyBorder="1" applyAlignment="1" applyProtection="1">
      <alignment horizontal="right" wrapText="1"/>
      <protection locked="0"/>
    </xf>
    <xf numFmtId="3" fontId="31" fillId="6" borderId="18" xfId="0" applyNumberFormat="1" applyFont="1" applyFill="1" applyBorder="1" applyAlignment="1" applyProtection="1">
      <alignment horizontal="right" wrapText="1"/>
      <protection locked="0"/>
    </xf>
    <xf numFmtId="0" fontId="35" fillId="21" borderId="32" xfId="0" applyFont="1" applyFill="1" applyBorder="1" applyAlignment="1">
      <alignment horizontal="righ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20" borderId="37" xfId="0" applyFont="1" applyFill="1" applyBorder="1" applyAlignment="1">
      <alignment horizontal="right" vertical="center" wrapText="1"/>
    </xf>
    <xf numFmtId="0" fontId="33" fillId="0" borderId="38" xfId="0" applyFont="1" applyBorder="1" applyAlignment="1">
      <alignment horizontal="left" vertical="center" wrapText="1"/>
    </xf>
    <xf numFmtId="0" fontId="33" fillId="21" borderId="21" xfId="0" applyFont="1" applyFill="1" applyBorder="1" applyAlignment="1">
      <alignment horizontal="right" vertical="center" wrapText="1"/>
    </xf>
    <xf numFmtId="0" fontId="33" fillId="20" borderId="39" xfId="0" applyFont="1" applyFill="1" applyBorder="1" applyAlignment="1">
      <alignment horizontal="right" vertical="center" wrapText="1"/>
    </xf>
    <xf numFmtId="0" fontId="33" fillId="21" borderId="41" xfId="0" applyFont="1" applyFill="1" applyBorder="1" applyAlignment="1">
      <alignment horizontal="right" vertical="center" wrapText="1"/>
    </xf>
    <xf numFmtId="0" fontId="33" fillId="0" borderId="41" xfId="0" applyFont="1" applyBorder="1" applyAlignment="1">
      <alignment horizontal="right" vertical="center" wrapText="1"/>
    </xf>
    <xf numFmtId="0" fontId="33" fillId="20" borderId="42" xfId="0" applyFont="1" applyFill="1" applyBorder="1" applyAlignment="1">
      <alignment horizontal="right" vertical="center" wrapText="1"/>
    </xf>
    <xf numFmtId="3" fontId="33" fillId="21" borderId="0" xfId="0" applyNumberFormat="1" applyFont="1" applyFill="1" applyAlignment="1">
      <alignment horizontal="right" vertical="center" wrapText="1"/>
    </xf>
    <xf numFmtId="0" fontId="33" fillId="0" borderId="36" xfId="0" applyFont="1" applyBorder="1" applyAlignment="1">
      <alignment vertical="center" wrapText="1"/>
    </xf>
    <xf numFmtId="0" fontId="34" fillId="0" borderId="36" xfId="0" applyFont="1" applyBorder="1" applyAlignment="1">
      <alignment horizontal="left" vertical="center" wrapText="1" indent="1"/>
    </xf>
    <xf numFmtId="0" fontId="34" fillId="21" borderId="0" xfId="0" applyFont="1" applyFill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34" fillId="20" borderId="0" xfId="0" applyFont="1" applyFill="1" applyAlignment="1">
      <alignment horizontal="right" vertical="center" wrapText="1"/>
    </xf>
    <xf numFmtId="3" fontId="33" fillId="21" borderId="21" xfId="0" applyNumberFormat="1" applyFont="1" applyFill="1" applyBorder="1" applyAlignment="1">
      <alignment horizontal="right" vertical="center" wrapText="1"/>
    </xf>
    <xf numFmtId="0" fontId="33" fillId="0" borderId="43" xfId="0" applyFont="1" applyBorder="1" applyAlignment="1">
      <alignment horizontal="left" vertical="center" wrapText="1"/>
    </xf>
    <xf numFmtId="0" fontId="33" fillId="21" borderId="26" xfId="0" applyFont="1" applyFill="1" applyBorder="1" applyAlignment="1">
      <alignment horizontal="right" vertical="center" wrapText="1"/>
    </xf>
    <xf numFmtId="0" fontId="33" fillId="0" borderId="26" xfId="0" applyFont="1" applyBorder="1" applyAlignment="1">
      <alignment horizontal="right" vertical="center" wrapText="1"/>
    </xf>
    <xf numFmtId="0" fontId="33" fillId="20" borderId="26" xfId="0" applyFont="1" applyFill="1" applyBorder="1" applyAlignment="1">
      <alignment horizontal="right" vertical="center" wrapText="1"/>
    </xf>
    <xf numFmtId="0" fontId="35" fillId="0" borderId="36" xfId="0" applyFont="1" applyBorder="1" applyAlignment="1">
      <alignment horizontal="left" vertical="center" wrapText="1" indent="1"/>
    </xf>
    <xf numFmtId="0" fontId="35" fillId="0" borderId="0" xfId="0" applyFont="1" applyAlignment="1">
      <alignment horizontal="right" vertical="center" wrapText="1"/>
    </xf>
    <xf numFmtId="0" fontId="33" fillId="0" borderId="44" xfId="0" applyFont="1" applyBorder="1" applyAlignment="1">
      <alignment horizontal="left" vertical="center" wrapText="1"/>
    </xf>
    <xf numFmtId="0" fontId="33" fillId="21" borderId="22" xfId="0" applyFont="1" applyFill="1" applyBorder="1" applyAlignment="1">
      <alignment horizontal="right" vertical="center" wrapText="1"/>
    </xf>
    <xf numFmtId="0" fontId="33" fillId="0" borderId="31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right" vertical="center" wrapText="1"/>
    </xf>
    <xf numFmtId="0" fontId="33" fillId="20" borderId="33" xfId="0" applyFont="1" applyFill="1" applyBorder="1" applyAlignment="1">
      <alignment horizontal="right" vertical="center" wrapText="1"/>
    </xf>
    <xf numFmtId="0" fontId="33" fillId="21" borderId="36" xfId="0" applyFont="1" applyFill="1" applyBorder="1" applyAlignment="1">
      <alignment horizontal="left" vertical="center" wrapText="1"/>
    </xf>
    <xf numFmtId="0" fontId="35" fillId="21" borderId="36" xfId="0" applyFont="1" applyFill="1" applyBorder="1" applyAlignment="1">
      <alignment vertical="center" wrapText="1"/>
    </xf>
    <xf numFmtId="3" fontId="33" fillId="21" borderId="33" xfId="0" applyNumberFormat="1" applyFont="1" applyFill="1" applyBorder="1" applyAlignment="1">
      <alignment horizontal="right" vertical="center" wrapText="1"/>
    </xf>
    <xf numFmtId="3" fontId="33" fillId="0" borderId="33" xfId="0" applyNumberFormat="1" applyFont="1" applyBorder="1" applyAlignment="1">
      <alignment horizontal="right" vertical="center" wrapText="1"/>
    </xf>
    <xf numFmtId="0" fontId="35" fillId="21" borderId="36" xfId="0" applyFont="1" applyFill="1" applyBorder="1" applyAlignment="1">
      <alignment horizontal="left" vertical="center" wrapText="1"/>
    </xf>
    <xf numFmtId="9" fontId="33" fillId="21" borderId="0" xfId="0" applyNumberFormat="1" applyFont="1" applyFill="1" applyAlignment="1">
      <alignment horizontal="right" vertical="center" wrapText="1"/>
    </xf>
    <xf numFmtId="9" fontId="33" fillId="20" borderId="0" xfId="0" applyNumberFormat="1" applyFont="1" applyFill="1" applyAlignment="1">
      <alignment horizontal="right" vertical="center" wrapText="1"/>
    </xf>
    <xf numFmtId="0" fontId="33" fillId="0" borderId="45" xfId="0" applyFont="1" applyBorder="1" applyAlignment="1">
      <alignment horizontal="left" vertical="center" wrapText="1"/>
    </xf>
    <xf numFmtId="9" fontId="33" fillId="21" borderId="11" xfId="0" applyNumberFormat="1" applyFont="1" applyFill="1" applyBorder="1" applyAlignment="1">
      <alignment horizontal="right" vertical="center" wrapText="1"/>
    </xf>
    <xf numFmtId="9" fontId="33" fillId="20" borderId="21" xfId="0" applyNumberFormat="1" applyFont="1" applyFill="1" applyBorder="1" applyAlignment="1">
      <alignment horizontal="right" vertical="center" wrapText="1"/>
    </xf>
    <xf numFmtId="0" fontId="33" fillId="20" borderId="11" xfId="0" applyFont="1" applyFill="1" applyBorder="1" applyAlignment="1">
      <alignment horizontal="right" vertical="center" wrapText="1"/>
    </xf>
    <xf numFmtId="0" fontId="33" fillId="21" borderId="11" xfId="0" applyFont="1" applyFill="1" applyBorder="1" applyAlignment="1">
      <alignment horizontal="right" vertical="center" wrapText="1"/>
    </xf>
    <xf numFmtId="9" fontId="33" fillId="20" borderId="11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 wrapText="1"/>
    </xf>
    <xf numFmtId="0" fontId="0" fillId="19" borderId="15" xfId="0" applyFont="1" applyFill="1" applyBorder="1" applyAlignment="1">
      <alignment horizontal="right" vertical="center" wrapText="1"/>
    </xf>
    <xf numFmtId="0" fontId="0" fillId="20" borderId="15" xfId="0" applyFont="1" applyFill="1" applyBorder="1" applyAlignment="1">
      <alignment horizontal="right" vertical="center" wrapText="1"/>
    </xf>
    <xf numFmtId="0" fontId="0" fillId="0" borderId="48" xfId="0" applyFont="1" applyBorder="1" applyAlignment="1">
      <alignment vertical="center" wrapText="1"/>
    </xf>
    <xf numFmtId="0" fontId="0" fillId="0" borderId="48" xfId="0" applyFont="1" applyBorder="1" applyAlignment="1">
      <alignment horizontal="right" vertical="center" wrapText="1"/>
    </xf>
    <xf numFmtId="0" fontId="0" fillId="19" borderId="48" xfId="0" applyFont="1" applyFill="1" applyBorder="1" applyAlignment="1">
      <alignment horizontal="right" vertical="center" wrapText="1"/>
    </xf>
    <xf numFmtId="0" fontId="0" fillId="20" borderId="48" xfId="0" applyFont="1" applyFill="1" applyBorder="1" applyAlignment="1">
      <alignment horizontal="right" vertical="center" wrapText="1"/>
    </xf>
    <xf numFmtId="3" fontId="0" fillId="19" borderId="0" xfId="0" applyNumberFormat="1" applyFont="1" applyFill="1" applyAlignment="1">
      <alignment horizontal="right" vertical="center" wrapText="1"/>
    </xf>
    <xf numFmtId="3" fontId="0" fillId="20" borderId="0" xfId="0" applyNumberFormat="1" applyFont="1" applyFill="1" applyAlignment="1">
      <alignment horizontal="right" vertical="center" wrapText="1"/>
    </xf>
    <xf numFmtId="17" fontId="36" fillId="6" borderId="0" xfId="0" applyNumberFormat="1" applyFont="1" applyFill="1" applyBorder="1" applyAlignment="1" applyProtection="1">
      <alignment horizontal="right"/>
      <protection locked="0"/>
    </xf>
    <xf numFmtId="3" fontId="36" fillId="6" borderId="27" xfId="0" applyNumberFormat="1" applyFont="1" applyFill="1" applyBorder="1" applyAlignment="1" applyProtection="1">
      <alignment horizontal="right" wrapText="1"/>
      <protection locked="0"/>
    </xf>
    <xf numFmtId="1" fontId="36" fillId="6" borderId="27" xfId="0" applyNumberFormat="1" applyFont="1" applyFill="1" applyBorder="1" applyAlignment="1" applyProtection="1">
      <alignment horizontal="right" wrapText="1"/>
      <protection locked="0"/>
    </xf>
    <xf numFmtId="3" fontId="36" fillId="0" borderId="27" xfId="0" applyNumberFormat="1" applyFont="1" applyFill="1" applyBorder="1" applyAlignment="1" applyProtection="1">
      <alignment horizontal="right" wrapText="1"/>
      <protection locked="0"/>
    </xf>
    <xf numFmtId="0" fontId="31" fillId="0" borderId="0" xfId="0" applyFont="1" applyFill="1" applyBorder="1" applyAlignment="1">
      <alignment horizontal="left"/>
    </xf>
    <xf numFmtId="0" fontId="35" fillId="21" borderId="0" xfId="0" applyFont="1" applyFill="1" applyAlignment="1">
      <alignment horizontal="right" vertical="center" wrapText="1"/>
    </xf>
    <xf numFmtId="0" fontId="35" fillId="21" borderId="33" xfId="0" applyFont="1" applyFill="1" applyBorder="1" applyAlignment="1">
      <alignment horizontal="right" vertical="center" wrapText="1"/>
    </xf>
    <xf numFmtId="0" fontId="33" fillId="20" borderId="0" xfId="0" applyFont="1" applyFill="1" applyAlignment="1">
      <alignment horizontal="right" vertical="center" wrapText="1"/>
    </xf>
    <xf numFmtId="0" fontId="35" fillId="21" borderId="35" xfId="0" applyFont="1" applyFill="1" applyBorder="1" applyAlignment="1">
      <alignment horizontal="right" vertical="center" wrapText="1"/>
    </xf>
    <xf numFmtId="0" fontId="33" fillId="21" borderId="0" xfId="0" applyFont="1" applyFill="1" applyAlignment="1">
      <alignment horizontal="right" vertical="center" wrapText="1"/>
    </xf>
    <xf numFmtId="0" fontId="33" fillId="21" borderId="33" xfId="0" applyFont="1" applyFill="1" applyBorder="1" applyAlignment="1">
      <alignment horizontal="right" vertical="center" wrapText="1"/>
    </xf>
    <xf numFmtId="0" fontId="35" fillId="21" borderId="30" xfId="0" applyFont="1" applyFill="1" applyBorder="1" applyAlignment="1">
      <alignment horizontal="left" vertical="center" wrapText="1"/>
    </xf>
    <xf numFmtId="0" fontId="35" fillId="21" borderId="31" xfId="0" applyFont="1" applyFill="1" applyBorder="1" applyAlignment="1">
      <alignment horizontal="left" vertical="center" wrapText="1"/>
    </xf>
    <xf numFmtId="0" fontId="35" fillId="21" borderId="34" xfId="0" applyFont="1" applyFill="1" applyBorder="1" applyAlignment="1">
      <alignment horizontal="right" vertical="center" wrapText="1"/>
    </xf>
    <xf numFmtId="0" fontId="33" fillId="0" borderId="4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6" fillId="0" borderId="0" xfId="0" applyFont="1" applyFill="1" applyAlignment="1">
      <alignment horizontal="right"/>
    </xf>
    <xf numFmtId="1" fontId="36" fillId="0" borderId="27" xfId="0" applyNumberFormat="1" applyFont="1" applyFill="1" applyBorder="1" applyAlignment="1" applyProtection="1">
      <alignment horizontal="right" wrapText="1"/>
      <protection locked="0"/>
    </xf>
    <xf numFmtId="171" fontId="25" fillId="0" borderId="0" xfId="0" applyNumberFormat="1" applyFont="1" applyFill="1" applyAlignment="1">
      <alignment horizontal="right"/>
    </xf>
    <xf numFmtId="3" fontId="25" fillId="0" borderId="17" xfId="0" applyNumberFormat="1" applyFont="1" applyFill="1" applyBorder="1" applyProtection="1">
      <protection locked="0"/>
    </xf>
    <xf numFmtId="9" fontId="42" fillId="0" borderId="0" xfId="0" applyNumberFormat="1" applyFont="1" applyFill="1" applyBorder="1"/>
    <xf numFmtId="10" fontId="42" fillId="0" borderId="29" xfId="0" applyNumberFormat="1" applyFont="1" applyFill="1" applyBorder="1"/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42" fillId="0" borderId="0" xfId="0" applyNumberFormat="1" applyFont="1" applyFill="1" applyBorder="1"/>
    <xf numFmtId="0" fontId="46" fillId="22" borderId="0" xfId="0" applyFont="1" applyFill="1" applyAlignment="1">
      <alignment horizontal="right"/>
    </xf>
    <xf numFmtId="1" fontId="36" fillId="22" borderId="27" xfId="0" applyNumberFormat="1" applyFont="1" applyFill="1" applyBorder="1" applyAlignment="1" applyProtection="1">
      <alignment horizontal="right" wrapText="1"/>
      <protection locked="0"/>
    </xf>
    <xf numFmtId="3" fontId="11" fillId="22" borderId="0" xfId="0" applyNumberFormat="1" applyFont="1" applyFill="1" applyBorder="1" applyProtection="1">
      <protection locked="0"/>
    </xf>
    <xf numFmtId="3" fontId="11" fillId="22" borderId="3" xfId="0" applyNumberFormat="1" applyFont="1" applyFill="1" applyBorder="1" applyProtection="1">
      <protection locked="0"/>
    </xf>
    <xf numFmtId="3" fontId="11" fillId="22" borderId="17" xfId="0" applyNumberFormat="1" applyFont="1" applyFill="1" applyBorder="1" applyProtection="1">
      <protection locked="0"/>
    </xf>
    <xf numFmtId="3" fontId="11" fillId="22" borderId="18" xfId="0" applyNumberFormat="1" applyFont="1" applyFill="1" applyBorder="1" applyProtection="1">
      <protection locked="0"/>
    </xf>
    <xf numFmtId="171" fontId="25" fillId="22" borderId="0" xfId="0" applyNumberFormat="1" applyFont="1" applyFill="1" applyAlignment="1">
      <alignment horizontal="right"/>
    </xf>
    <xf numFmtId="3" fontId="25" fillId="22" borderId="17" xfId="0" applyNumberFormat="1" applyFont="1" applyFill="1" applyBorder="1" applyProtection="1">
      <protection locked="0"/>
    </xf>
    <xf numFmtId="9" fontId="42" fillId="22" borderId="0" xfId="0" applyNumberFormat="1" applyFont="1" applyFill="1" applyBorder="1"/>
    <xf numFmtId="17" fontId="36" fillId="0" borderId="0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ont="1" applyFill="1" applyBorder="1" applyAlignment="1">
      <alignment horizontal="right"/>
    </xf>
    <xf numFmtId="17" fontId="36" fillId="22" borderId="0" xfId="0" applyNumberFormat="1" applyFont="1" applyFill="1" applyBorder="1" applyAlignment="1" applyProtection="1">
      <alignment horizontal="right"/>
      <protection locked="0"/>
    </xf>
    <xf numFmtId="3" fontId="16" fillId="22" borderId="0" xfId="0" applyNumberFormat="1" applyFont="1" applyFill="1" applyAlignment="1">
      <alignment horizontal="right"/>
    </xf>
    <xf numFmtId="3" fontId="0" fillId="22" borderId="0" xfId="0" applyNumberFormat="1" applyFont="1" applyFill="1" applyAlignment="1">
      <alignment horizontal="right"/>
    </xf>
    <xf numFmtId="3" fontId="0" fillId="22" borderId="17" xfId="0" applyNumberFormat="1" applyFont="1" applyFill="1" applyBorder="1" applyAlignment="1">
      <alignment horizontal="right"/>
    </xf>
    <xf numFmtId="9" fontId="1" fillId="22" borderId="0" xfId="0" applyNumberFormat="1" applyFont="1" applyFill="1" applyBorder="1"/>
    <xf numFmtId="17" fontId="31" fillId="0" borderId="0" xfId="0" applyNumberFormat="1" applyFont="1" applyFill="1" applyBorder="1" applyAlignment="1" applyProtection="1">
      <alignment horizontal="right"/>
      <protection locked="0"/>
    </xf>
    <xf numFmtId="1" fontId="11" fillId="0" borderId="0" xfId="0" applyNumberFormat="1" applyFont="1" applyFill="1" applyBorder="1" applyProtection="1">
      <protection locked="0"/>
    </xf>
    <xf numFmtId="173" fontId="11" fillId="22" borderId="0" xfId="0" applyNumberFormat="1" applyFont="1" applyFill="1" applyBorder="1" applyProtection="1">
      <protection locked="0"/>
    </xf>
    <xf numFmtId="3" fontId="0" fillId="22" borderId="0" xfId="0" applyNumberFormat="1" applyFill="1"/>
    <xf numFmtId="0" fontId="47" fillId="0" borderId="0" xfId="0" applyFont="1" applyAlignment="1">
      <alignment vertical="center"/>
    </xf>
    <xf numFmtId="3" fontId="33" fillId="20" borderId="37" xfId="0" applyNumberFormat="1" applyFont="1" applyFill="1" applyBorder="1" applyAlignment="1">
      <alignment horizontal="right" vertical="center" wrapText="1"/>
    </xf>
    <xf numFmtId="0" fontId="34" fillId="20" borderId="37" xfId="0" applyFont="1" applyFill="1" applyBorder="1" applyAlignment="1">
      <alignment horizontal="right" vertical="center" wrapText="1"/>
    </xf>
    <xf numFmtId="3" fontId="33" fillId="20" borderId="39" xfId="0" applyNumberFormat="1" applyFont="1" applyFill="1" applyBorder="1" applyAlignment="1">
      <alignment horizontal="right" vertical="center" wrapText="1"/>
    </xf>
    <xf numFmtId="0" fontId="33" fillId="0" borderId="36" xfId="0" applyFont="1" applyBorder="1" applyAlignment="1">
      <alignment horizontal="left" vertical="center" wrapText="1" indent="4"/>
    </xf>
    <xf numFmtId="3" fontId="33" fillId="21" borderId="26" xfId="0" applyNumberFormat="1" applyFont="1" applyFill="1" applyBorder="1" applyAlignment="1">
      <alignment horizontal="right" vertical="center" wrapText="1"/>
    </xf>
    <xf numFmtId="3" fontId="33" fillId="20" borderId="51" xfId="0" applyNumberFormat="1" applyFont="1" applyFill="1" applyBorder="1" applyAlignment="1">
      <alignment horizontal="right" vertical="center" wrapText="1"/>
    </xf>
    <xf numFmtId="3" fontId="35" fillId="21" borderId="0" xfId="0" applyNumberFormat="1" applyFont="1" applyFill="1" applyAlignment="1">
      <alignment horizontal="right" vertical="center" wrapText="1"/>
    </xf>
    <xf numFmtId="3" fontId="35" fillId="20" borderId="37" xfId="0" applyNumberFormat="1" applyFont="1" applyFill="1" applyBorder="1" applyAlignment="1">
      <alignment horizontal="right" vertical="center" wrapText="1"/>
    </xf>
    <xf numFmtId="0" fontId="33" fillId="20" borderId="52" xfId="0" applyFont="1" applyFill="1" applyBorder="1" applyAlignment="1">
      <alignment horizontal="right" vertical="center" wrapText="1"/>
    </xf>
    <xf numFmtId="0" fontId="33" fillId="20" borderId="35" xfId="0" applyFont="1" applyFill="1" applyBorder="1" applyAlignment="1">
      <alignment horizontal="right" vertical="center" wrapText="1"/>
    </xf>
    <xf numFmtId="0" fontId="33" fillId="21" borderId="37" xfId="0" applyFont="1" applyFill="1" applyBorder="1" applyAlignment="1">
      <alignment horizontal="right" vertical="center" wrapText="1"/>
    </xf>
    <xf numFmtId="0" fontId="33" fillId="20" borderId="53" xfId="0" applyFont="1" applyFill="1" applyBorder="1" applyAlignment="1">
      <alignment horizontal="right" vertical="center" wrapText="1"/>
    </xf>
    <xf numFmtId="3" fontId="33" fillId="20" borderId="46" xfId="0" applyNumberFormat="1" applyFont="1" applyFill="1" applyBorder="1" applyAlignment="1">
      <alignment horizontal="right" vertical="center" wrapText="1"/>
    </xf>
    <xf numFmtId="3" fontId="33" fillId="20" borderId="26" xfId="0" applyNumberFormat="1" applyFont="1" applyFill="1" applyBorder="1" applyAlignment="1">
      <alignment horizontal="right" vertical="center" wrapText="1"/>
    </xf>
    <xf numFmtId="0" fontId="35" fillId="20" borderId="21" xfId="0" applyFont="1" applyFill="1" applyBorder="1" applyAlignment="1">
      <alignment horizontal="right" vertical="center" wrapText="1"/>
    </xf>
    <xf numFmtId="0" fontId="35" fillId="21" borderId="0" xfId="0" applyFont="1" applyFill="1" applyAlignment="1">
      <alignment vertical="center" wrapText="1"/>
    </xf>
    <xf numFmtId="0" fontId="35" fillId="21" borderId="33" xfId="0" applyFont="1" applyFill="1" applyBorder="1" applyAlignment="1">
      <alignment vertical="center" wrapText="1"/>
    </xf>
    <xf numFmtId="3" fontId="33" fillId="0" borderId="46" xfId="0" applyNumberFormat="1" applyFont="1" applyBorder="1" applyAlignment="1">
      <alignment vertical="center" wrapText="1"/>
    </xf>
    <xf numFmtId="3" fontId="33" fillId="0" borderId="0" xfId="0" applyNumberFormat="1" applyFont="1" applyAlignment="1">
      <alignment vertical="center" wrapText="1"/>
    </xf>
    <xf numFmtId="3" fontId="33" fillId="0" borderId="33" xfId="0" applyNumberFormat="1" applyFont="1" applyBorder="1" applyAlignment="1">
      <alignment vertical="center" wrapText="1"/>
    </xf>
    <xf numFmtId="0" fontId="48" fillId="0" borderId="0" xfId="0" applyFont="1" applyAlignment="1">
      <alignment horizontal="justify" vertical="center"/>
    </xf>
    <xf numFmtId="0" fontId="4" fillId="19" borderId="23" xfId="0" applyFont="1" applyFill="1" applyBorder="1" applyAlignment="1">
      <alignment vertical="center" wrapText="1"/>
    </xf>
    <xf numFmtId="0" fontId="4" fillId="20" borderId="23" xfId="0" applyFont="1" applyFill="1" applyBorder="1" applyAlignment="1">
      <alignment vertical="center" wrapText="1"/>
    </xf>
    <xf numFmtId="170" fontId="4" fillId="0" borderId="0" xfId="17" applyNumberFormat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19" borderId="0" xfId="0" applyFont="1" applyFill="1" applyAlignment="1">
      <alignment horizontal="right" vertical="center" wrapText="1"/>
    </xf>
    <xf numFmtId="0" fontId="4" fillId="20" borderId="0" xfId="0" applyFont="1" applyFill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0" fontId="4" fillId="19" borderId="23" xfId="0" applyFont="1" applyFill="1" applyBorder="1" applyAlignment="1">
      <alignment horizontal="right" vertical="center" wrapText="1"/>
    </xf>
    <xf numFmtId="0" fontId="4" fillId="20" borderId="23" xfId="0" applyFont="1" applyFill="1" applyBorder="1" applyAlignment="1">
      <alignment horizontal="right" vertical="center" wrapText="1"/>
    </xf>
    <xf numFmtId="9" fontId="4" fillId="19" borderId="0" xfId="0" applyNumberFormat="1" applyFont="1" applyFill="1" applyAlignment="1">
      <alignment horizontal="right" vertical="center" wrapText="1"/>
    </xf>
    <xf numFmtId="9" fontId="4" fillId="20" borderId="0" xfId="0" applyNumberFormat="1" applyFont="1" applyFill="1" applyAlignment="1">
      <alignment horizontal="right" vertical="center" wrapText="1"/>
    </xf>
    <xf numFmtId="9" fontId="4" fillId="19" borderId="23" xfId="0" applyNumberFormat="1" applyFont="1" applyFill="1" applyBorder="1" applyAlignment="1">
      <alignment horizontal="right" vertical="center" wrapText="1"/>
    </xf>
    <xf numFmtId="9" fontId="4" fillId="20" borderId="23" xfId="0" applyNumberFormat="1" applyFont="1" applyFill="1" applyBorder="1" applyAlignment="1">
      <alignment horizontal="right" vertical="center" wrapText="1"/>
    </xf>
    <xf numFmtId="170" fontId="4" fillId="0" borderId="0" xfId="17" applyNumberFormat="1" applyFont="1" applyFill="1"/>
    <xf numFmtId="3" fontId="0" fillId="0" borderId="0" xfId="0" applyNumberFormat="1" applyFill="1"/>
    <xf numFmtId="3" fontId="0" fillId="0" borderId="3" xfId="0" applyNumberFormat="1" applyFill="1" applyBorder="1"/>
    <xf numFmtId="3" fontId="0" fillId="0" borderId="18" xfId="0" applyNumberFormat="1" applyFill="1" applyBorder="1"/>
    <xf numFmtId="3" fontId="0" fillId="22" borderId="3" xfId="0" applyNumberFormat="1" applyFill="1" applyBorder="1"/>
    <xf numFmtId="3" fontId="0" fillId="22" borderId="18" xfId="0" applyNumberFormat="1" applyFill="1" applyBorder="1"/>
    <xf numFmtId="17" fontId="31" fillId="22" borderId="0" xfId="0" applyNumberFormat="1" applyFont="1" applyFill="1" applyBorder="1" applyAlignment="1" applyProtection="1">
      <alignment horizontal="right"/>
      <protection locked="0"/>
    </xf>
    <xf numFmtId="1" fontId="31" fillId="22" borderId="27" xfId="0" applyNumberFormat="1" applyFont="1" applyFill="1" applyBorder="1" applyAlignment="1" applyProtection="1">
      <alignment horizontal="right" wrapText="1"/>
      <protection locked="0"/>
    </xf>
    <xf numFmtId="9" fontId="1" fillId="22" borderId="18" xfId="0" applyNumberFormat="1" applyFont="1" applyFill="1" applyBorder="1"/>
    <xf numFmtId="9" fontId="0" fillId="22" borderId="0" xfId="0" applyNumberFormat="1" applyFont="1" applyFill="1" applyBorder="1"/>
    <xf numFmtId="9" fontId="0" fillId="22" borderId="18" xfId="0" applyNumberFormat="1" applyFont="1" applyFill="1" applyBorder="1"/>
    <xf numFmtId="1" fontId="31" fillId="22" borderId="0" xfId="0" applyNumberFormat="1" applyFont="1" applyFill="1" applyBorder="1" applyAlignment="1" applyProtection="1">
      <alignment horizontal="right" wrapText="1"/>
      <protection locked="0"/>
    </xf>
    <xf numFmtId="1" fontId="31" fillId="22" borderId="18" xfId="0" applyNumberFormat="1" applyFont="1" applyFill="1" applyBorder="1" applyAlignment="1" applyProtection="1">
      <alignment horizontal="right" wrapText="1"/>
      <protection locked="0"/>
    </xf>
    <xf numFmtId="10" fontId="42" fillId="22" borderId="29" xfId="0" applyNumberFormat="1" applyFont="1" applyFill="1" applyBorder="1"/>
    <xf numFmtId="10" fontId="1" fillId="22" borderId="29" xfId="0" applyNumberFormat="1" applyFont="1" applyFill="1" applyBorder="1"/>
    <xf numFmtId="9" fontId="33" fillId="23" borderId="0" xfId="0" applyNumberFormat="1" applyFont="1" applyFill="1" applyAlignment="1">
      <alignment horizontal="right" vertical="center" wrapText="1"/>
    </xf>
    <xf numFmtId="9" fontId="33" fillId="23" borderId="11" xfId="0" applyNumberFormat="1" applyFont="1" applyFill="1" applyBorder="1" applyAlignment="1">
      <alignment horizontal="right" vertical="center" wrapText="1"/>
    </xf>
    <xf numFmtId="0" fontId="33" fillId="0" borderId="56" xfId="0" applyFont="1" applyBorder="1" applyAlignment="1">
      <alignment horizontal="justify" vertical="center" wrapText="1"/>
    </xf>
    <xf numFmtId="0" fontId="33" fillId="0" borderId="37" xfId="0" applyFont="1" applyBorder="1" applyAlignment="1">
      <alignment horizontal="justify" vertical="center" wrapText="1"/>
    </xf>
    <xf numFmtId="0" fontId="33" fillId="0" borderId="42" xfId="0" applyFont="1" applyBorder="1" applyAlignment="1">
      <alignment horizontal="justify" vertical="center" wrapText="1"/>
    </xf>
    <xf numFmtId="0" fontId="35" fillId="21" borderId="0" xfId="0" applyFont="1" applyFill="1" applyAlignment="1">
      <alignment horizontal="right" vertical="center" wrapText="1"/>
    </xf>
    <xf numFmtId="0" fontId="35" fillId="21" borderId="33" xfId="0" applyFont="1" applyFill="1" applyBorder="1" applyAlignment="1">
      <alignment horizontal="right" vertical="center" wrapText="1"/>
    </xf>
    <xf numFmtId="0" fontId="44" fillId="20" borderId="11" xfId="0" applyFont="1" applyFill="1" applyBorder="1" applyAlignment="1">
      <alignment horizontal="right" vertical="center" wrapText="1"/>
    </xf>
    <xf numFmtId="0" fontId="33" fillId="0" borderId="47" xfId="0" applyFont="1" applyBorder="1" applyAlignment="1">
      <alignment horizontal="justify" vertical="center" wrapText="1"/>
    </xf>
    <xf numFmtId="0" fontId="33" fillId="0" borderId="5" xfId="0" applyFont="1" applyBorder="1" applyAlignment="1">
      <alignment horizontal="justify" vertical="center" wrapText="1"/>
    </xf>
    <xf numFmtId="0" fontId="33" fillId="0" borderId="36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33" fillId="0" borderId="40" xfId="0" applyFont="1" applyBorder="1" applyAlignment="1">
      <alignment horizontal="justify" vertical="center" wrapText="1"/>
    </xf>
    <xf numFmtId="0" fontId="33" fillId="0" borderId="41" xfId="0" applyFont="1" applyBorder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33" fillId="21" borderId="55" xfId="0" applyFont="1" applyFill="1" applyBorder="1" applyAlignment="1">
      <alignment horizontal="right" vertical="center" wrapText="1"/>
    </xf>
    <xf numFmtId="0" fontId="33" fillId="21" borderId="50" xfId="0" applyFont="1" applyFill="1" applyBorder="1" applyAlignment="1">
      <alignment horizontal="right" vertical="center" wrapText="1"/>
    </xf>
    <xf numFmtId="0" fontId="44" fillId="20" borderId="46" xfId="0" applyFont="1" applyFill="1" applyBorder="1" applyAlignment="1">
      <alignment horizontal="right" vertical="center" wrapText="1"/>
    </xf>
    <xf numFmtId="0" fontId="33" fillId="20" borderId="0" xfId="0" applyFont="1" applyFill="1" applyAlignment="1">
      <alignment horizontal="right" vertical="center" wrapText="1"/>
    </xf>
    <xf numFmtId="0" fontId="44" fillId="20" borderId="0" xfId="0" applyFont="1" applyFill="1" applyAlignment="1">
      <alignment horizontal="right" vertical="center" wrapText="1"/>
    </xf>
    <xf numFmtId="0" fontId="33" fillId="20" borderId="37" xfId="0" applyFont="1" applyFill="1" applyBorder="1" applyAlignment="1">
      <alignment horizontal="right" vertical="center" wrapText="1"/>
    </xf>
    <xf numFmtId="0" fontId="35" fillId="21" borderId="37" xfId="0" applyFont="1" applyFill="1" applyBorder="1" applyAlignment="1">
      <alignment horizontal="right" vertical="center" wrapText="1"/>
    </xf>
    <xf numFmtId="0" fontId="35" fillId="21" borderId="35" xfId="0" applyFont="1" applyFill="1" applyBorder="1" applyAlignment="1">
      <alignment horizontal="right" vertical="center" wrapText="1"/>
    </xf>
    <xf numFmtId="0" fontId="35" fillId="21" borderId="55" xfId="0" applyFont="1" applyFill="1" applyBorder="1" applyAlignment="1">
      <alignment horizontal="right" vertical="center" wrapText="1"/>
    </xf>
    <xf numFmtId="0" fontId="35" fillId="21" borderId="50" xfId="0" applyFont="1" applyFill="1" applyBorder="1" applyAlignment="1">
      <alignment horizontal="right" vertical="center" wrapText="1"/>
    </xf>
    <xf numFmtId="0" fontId="33" fillId="21" borderId="46" xfId="0" applyFont="1" applyFill="1" applyBorder="1" applyAlignment="1">
      <alignment horizontal="right" vertical="center" wrapText="1"/>
    </xf>
    <xf numFmtId="0" fontId="33" fillId="21" borderId="54" xfId="0" applyFont="1" applyFill="1" applyBorder="1" applyAlignment="1">
      <alignment horizontal="right" vertical="center" wrapText="1"/>
    </xf>
    <xf numFmtId="0" fontId="35" fillId="21" borderId="30" xfId="0" applyFont="1" applyFill="1" applyBorder="1" applyAlignment="1">
      <alignment horizontal="left" vertical="center" wrapText="1"/>
    </xf>
    <xf numFmtId="0" fontId="35" fillId="21" borderId="31" xfId="0" applyFont="1" applyFill="1" applyBorder="1" applyAlignment="1">
      <alignment horizontal="left" vertical="center" wrapText="1"/>
    </xf>
    <xf numFmtId="0" fontId="35" fillId="21" borderId="34" xfId="0" applyFont="1" applyFill="1" applyBorder="1" applyAlignment="1">
      <alignment horizontal="right" vertical="center" wrapText="1"/>
    </xf>
    <xf numFmtId="0" fontId="35" fillId="21" borderId="49" xfId="0" applyFont="1" applyFill="1" applyBorder="1" applyAlignment="1">
      <alignment horizontal="right" vertical="center" wrapText="1"/>
    </xf>
    <xf numFmtId="0" fontId="33" fillId="21" borderId="36" xfId="0" applyFont="1" applyFill="1" applyBorder="1" applyAlignment="1">
      <alignment horizontal="right" vertical="center" wrapText="1"/>
    </xf>
    <xf numFmtId="0" fontId="33" fillId="21" borderId="31" xfId="0" applyFont="1" applyFill="1" applyBorder="1" applyAlignment="1">
      <alignment horizontal="right" vertical="center" wrapText="1"/>
    </xf>
    <xf numFmtId="0" fontId="33" fillId="21" borderId="0" xfId="0" applyFont="1" applyFill="1" applyAlignment="1">
      <alignment horizontal="right" vertical="center" wrapText="1"/>
    </xf>
    <xf numFmtId="0" fontId="33" fillId="21" borderId="33" xfId="0" applyFont="1" applyFill="1" applyBorder="1" applyAlignment="1">
      <alignment horizontal="right" vertical="center" wrapText="1"/>
    </xf>
    <xf numFmtId="0" fontId="33" fillId="21" borderId="37" xfId="0" applyFont="1" applyFill="1" applyBorder="1" applyAlignment="1">
      <alignment horizontal="right" vertical="center" wrapText="1"/>
    </xf>
    <xf numFmtId="0" fontId="33" fillId="21" borderId="35" xfId="0" applyFont="1" applyFill="1" applyBorder="1" applyAlignment="1">
      <alignment horizontal="right" vertical="center" wrapText="1"/>
    </xf>
    <xf numFmtId="0" fontId="44" fillId="20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right" vertical="center" wrapText="1"/>
    </xf>
  </cellXfs>
  <cellStyles count="51">
    <cellStyle name="AM_For_Lev1" xfId="18" xr:uid="{00000000-0005-0000-0000-000000000000}"/>
    <cellStyle name="Border" xfId="19" xr:uid="{00000000-0005-0000-0000-000001000000}"/>
    <cellStyle name="Comma" xfId="17" builtinId="3"/>
    <cellStyle name="Comma [0] 2" xfId="20" xr:uid="{00000000-0005-0000-0000-000003000000}"/>
    <cellStyle name="Comma 2" xfId="21" xr:uid="{00000000-0005-0000-0000-000004000000}"/>
    <cellStyle name="Currency [0] 2" xfId="22" xr:uid="{00000000-0005-0000-0000-000005000000}"/>
    <cellStyle name="Currency 2" xfId="23" xr:uid="{00000000-0005-0000-0000-000006000000}"/>
    <cellStyle name="Dim3" xfId="24" xr:uid="{00000000-0005-0000-0000-000007000000}"/>
    <cellStyle name="Dim3 Descrip." xfId="25" xr:uid="{00000000-0005-0000-0000-000008000000}"/>
    <cellStyle name="Filip" xfId="16" xr:uid="{00000000-0005-0000-0000-000009000000}"/>
    <cellStyle name="Global level 1 Numeric" xfId="26" xr:uid="{00000000-0005-0000-0000-00000A000000}"/>
    <cellStyle name="Global level 1 text" xfId="27" xr:uid="{00000000-0005-0000-0000-00000B000000}"/>
    <cellStyle name="Global level 2 WhereOf" xfId="28" xr:uid="{00000000-0005-0000-0000-00000C000000}"/>
    <cellStyle name="Global level 2 Whereof numeric" xfId="29" xr:uid="{00000000-0005-0000-0000-00000D000000}"/>
    <cellStyle name="Global Total numeric" xfId="30" xr:uid="{00000000-0005-0000-0000-00000E000000}"/>
    <cellStyle name="Global totals" xfId="31" xr:uid="{00000000-0005-0000-0000-00000F000000}"/>
    <cellStyle name="GRS_For_Lev1" xfId="32" xr:uid="{00000000-0005-0000-0000-000010000000}"/>
    <cellStyle name="Hid_Border" xfId="33" xr:uid="{00000000-0005-0000-0000-000011000000}"/>
    <cellStyle name="Hidden" xfId="1" xr:uid="{00000000-0005-0000-0000-000012000000}"/>
    <cellStyle name="Hidden 2" xfId="34" xr:uid="{00000000-0005-0000-0000-000013000000}"/>
    <cellStyle name="HiddenAnchor" xfId="2" xr:uid="{00000000-0005-0000-0000-000014000000}"/>
    <cellStyle name="Level 1 - Numeric" xfId="3" xr:uid="{00000000-0005-0000-0000-000015000000}"/>
    <cellStyle name="Level 1 - Text" xfId="4" xr:uid="{00000000-0005-0000-0000-000016000000}"/>
    <cellStyle name="Level 2 -  Text" xfId="5" xr:uid="{00000000-0005-0000-0000-000017000000}"/>
    <cellStyle name="Level 2 - Numeric" xfId="6" xr:uid="{00000000-0005-0000-0000-000018000000}"/>
    <cellStyle name="Level 3 - Numeric" xfId="7" xr:uid="{00000000-0005-0000-0000-000019000000}"/>
    <cellStyle name="Level 3 - Text" xfId="8" xr:uid="{00000000-0005-0000-0000-00001A000000}"/>
    <cellStyle name="Level 4 - Numeric" xfId="9" xr:uid="{00000000-0005-0000-0000-00001B000000}"/>
    <cellStyle name="Level 4 - Text" xfId="10" xr:uid="{00000000-0005-0000-0000-00001C000000}"/>
    <cellStyle name="Manual0D" xfId="35" xr:uid="{00000000-0005-0000-0000-00001D000000}"/>
    <cellStyle name="N0d_Normal" xfId="36" xr:uid="{00000000-0005-0000-0000-00001E000000}"/>
    <cellStyle name="N2d_Normal" xfId="37" xr:uid="{00000000-0005-0000-0000-00001F000000}"/>
    <cellStyle name="Normal" xfId="0" builtinId="0"/>
    <cellStyle name="Normal 2" xfId="13" xr:uid="{00000000-0005-0000-0000-000021000000}"/>
    <cellStyle name="Not applicable" xfId="38" xr:uid="{00000000-0005-0000-0000-000022000000}"/>
    <cellStyle name="NumBottomRight" xfId="39" xr:uid="{00000000-0005-0000-0000-000023000000}"/>
    <cellStyle name="NumTopLeft" xfId="40" xr:uid="{00000000-0005-0000-0000-000024000000}"/>
    <cellStyle name="Parametres title" xfId="41" xr:uid="{00000000-0005-0000-0000-000025000000}"/>
    <cellStyle name="Parametres values" xfId="42" xr:uid="{00000000-0005-0000-0000-000026000000}"/>
    <cellStyle name="Protected" xfId="11" xr:uid="{00000000-0005-0000-0000-000028000000}"/>
    <cellStyle name="Rec_Det_N0D" xfId="43" xr:uid="{00000000-0005-0000-0000-000029000000}"/>
    <cellStyle name="Rep_For_Lev0" xfId="44" xr:uid="{00000000-0005-0000-0000-00002A000000}"/>
    <cellStyle name="TextIndent0" xfId="14" xr:uid="{00000000-0005-0000-0000-00002B000000}"/>
    <cellStyle name="TextIndent1" xfId="15" xr:uid="{00000000-0005-0000-0000-00002C000000}"/>
    <cellStyle name="TextIndent2" xfId="45" xr:uid="{00000000-0005-0000-0000-00002D000000}"/>
    <cellStyle name="Titel" xfId="46" xr:uid="{00000000-0005-0000-0000-00002E000000}"/>
    <cellStyle name="Txt_Level1" xfId="47" xr:uid="{00000000-0005-0000-0000-00002F000000}"/>
    <cellStyle name="TxtBottomRight" xfId="48" xr:uid="{00000000-0005-0000-0000-000030000000}"/>
    <cellStyle name="TxtTopLeft" xfId="49" xr:uid="{00000000-0005-0000-0000-000031000000}"/>
    <cellStyle name="Unprotected" xfId="12" xr:uid="{00000000-0005-0000-0000-000032000000}"/>
    <cellStyle name="WhereOf" xfId="50" xr:uid="{00000000-0005-0000-0000-000033000000}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C0C0C0"/>
      <color rgb="FF3BAEE1"/>
      <color rgb="FFFF0000"/>
      <color rgb="FF1B5B95"/>
      <color rgb="FFFDE9D9"/>
      <color rgb="FFE8EAF8"/>
      <color rgb="FFF00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318298</xdr:colOff>
      <xdr:row>42</xdr:row>
      <xdr:rowOff>88254</xdr:rowOff>
    </xdr:from>
    <xdr:ext cx="5387175" cy="472749"/>
    <xdr:sp macro="" textlink="">
      <xdr:nvSpPr>
        <xdr:cNvPr id="2" name="Notched Righ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 flipV="1">
          <a:off x="7140579" y="7589192"/>
          <a:ext cx="5387175" cy="47274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1.Select  requested report level ,</a:t>
          </a:r>
          <a:r>
            <a:rPr lang="nl-BE" sz="1400" b="1" baseline="0"/>
            <a:t> currency and unit + shift F9</a:t>
          </a:r>
          <a:endParaRPr lang="nl-BE" sz="1400" b="1"/>
        </a:p>
      </xdr:txBody>
    </xdr:sp>
    <xdr:clientData/>
  </xdr:oneCellAnchor>
  <xdr:oneCellAnchor>
    <xdr:from>
      <xdr:col>13</xdr:col>
      <xdr:colOff>333377</xdr:colOff>
      <xdr:row>66</xdr:row>
      <xdr:rowOff>166686</xdr:rowOff>
    </xdr:from>
    <xdr:ext cx="6418205" cy="416719"/>
    <xdr:sp macro="" textlink="">
      <xdr:nvSpPr>
        <xdr:cNvPr id="5" name="Notched Right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0800000" flipV="1">
          <a:off x="13513596" y="1714499"/>
          <a:ext cx="6418205" cy="41671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2. Select Period</a:t>
          </a:r>
          <a:r>
            <a:rPr lang="nl-BE" sz="1400" b="1" baseline="0"/>
            <a:t> (last month of the quarter) + shift F9 to refresh sheet</a:t>
          </a:r>
          <a:r>
            <a:rPr lang="nl-BE" sz="1400" b="1"/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345\AppData\Local\Temp\notesFB86DA\2b2_Delta_report_alt(vs%20previous%20version)%20PRO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koepel\quarter%20estimate\ROFO\analyse%20sheets\QES_ROFO_P&amp;L%20Delta%20per%20company%20or%20BU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2B\GI005437\M016376\02_Content\Implementatie%20nieuwe%20Cognos\Analyse%20&amp;%20Opzet%20Cognos\Rapporten\Reporting%20Templates\Finale%20versie%20TEMPLATE%20GRS_V201210%20With%20User%20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P&amp;L '13"/>
      <sheetName val="P&amp;L Ins '13"/>
      <sheetName val="KPI '13"/>
      <sheetName val="P&amp;L '14"/>
      <sheetName val="P&amp;L Ins '14"/>
      <sheetName val="KPI '14"/>
      <sheetName val="P&amp;L '15"/>
      <sheetName val="P&amp;L Ins '15"/>
      <sheetName val="KPI '15"/>
      <sheetName val="P&amp;L '16"/>
      <sheetName val="P&amp;L Ins '16"/>
      <sheetName val="KPI '16"/>
    </sheetNames>
    <sheetDataSet>
      <sheetData sheetId="0"/>
      <sheetData sheetId="1">
        <row r="1">
          <cell r="AI1" t="str">
            <v>APC13</v>
          </cell>
        </row>
        <row r="70">
          <cell r="F70" t="str">
            <v>I2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QES P&amp;L"/>
      <sheetName val="ROFO P&amp;L"/>
      <sheetName val="QES Group Centre"/>
      <sheetName val="Sheet1"/>
    </sheetNames>
    <sheetDataSet>
      <sheetData sheetId="0" refreshError="1"/>
      <sheetData sheetId="1">
        <row r="68">
          <cell r="F68" t="str">
            <v>ROF15 Q1 Input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User Menu"/>
      <sheetName val="Names"/>
      <sheetName val="Application Mgt Menu"/>
      <sheetName val="Template"/>
      <sheetName val="HeaderTable"/>
      <sheetName val="Parameters"/>
      <sheetName val="LocalLists"/>
      <sheetName val="TM1Pick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 t="str">
            <v xml:space="preserve"> 3.2</v>
          </cell>
        </row>
      </sheetData>
      <sheetData sheetId="7">
        <row r="1">
          <cell r="A1" t="str">
            <v>PeriodScopes_List</v>
          </cell>
          <cell r="C1" t="str">
            <v>UnitsText_List</v>
          </cell>
          <cell r="D1" t="str">
            <v>UnitsNumber_List</v>
          </cell>
          <cell r="N1" t="str">
            <v>TobecopiedSheets_List
(REVERSE order)</v>
          </cell>
        </row>
        <row r="2">
          <cell r="C2" t="str">
            <v>Units</v>
          </cell>
          <cell r="D2">
            <v>1</v>
          </cell>
          <cell r="N2" t="str">
            <v>User Menu</v>
          </cell>
        </row>
        <row r="3">
          <cell r="C3" t="str">
            <v>Thousands</v>
          </cell>
          <cell r="D3">
            <v>1000</v>
          </cell>
          <cell r="N3" t="str">
            <v>Parameters</v>
          </cell>
        </row>
        <row r="4">
          <cell r="C4" t="str">
            <v>Millions</v>
          </cell>
          <cell r="D4">
            <v>1000000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eadMeAppMgt"/>
  <dimension ref="A1:D58"/>
  <sheetViews>
    <sheetView showGridLines="0" workbookViewId="0">
      <selection activeCell="A11" sqref="A11"/>
    </sheetView>
  </sheetViews>
  <sheetFormatPr defaultColWidth="9.109375" defaultRowHeight="13.2" x14ac:dyDescent="0.25"/>
  <cols>
    <col min="1" max="1" width="32" customWidth="1"/>
    <col min="2" max="2" width="25.33203125" customWidth="1"/>
    <col min="3" max="3" width="31.88671875" customWidth="1"/>
    <col min="4" max="4" width="61.5546875" customWidth="1"/>
  </cols>
  <sheetData>
    <row r="1" spans="1:3" s="7" customFormat="1" x14ac:dyDescent="0.25">
      <c r="A1" s="7" t="s">
        <v>11</v>
      </c>
    </row>
    <row r="2" spans="1:3" s="7" customFormat="1" x14ac:dyDescent="0.25">
      <c r="B2" t="s">
        <v>14</v>
      </c>
      <c r="C2" s="24" t="s">
        <v>102</v>
      </c>
    </row>
    <row r="3" spans="1:3" x14ac:dyDescent="0.25">
      <c r="B3" t="s">
        <v>12</v>
      </c>
      <c r="C3" s="34" t="s">
        <v>207</v>
      </c>
    </row>
    <row r="4" spans="1:3" x14ac:dyDescent="0.25">
      <c r="B4" t="s">
        <v>13</v>
      </c>
      <c r="C4" s="34" t="s">
        <v>208</v>
      </c>
    </row>
    <row r="6" spans="1:3" x14ac:dyDescent="0.25">
      <c r="A6" s="7"/>
    </row>
    <row r="7" spans="1:3" x14ac:dyDescent="0.25">
      <c r="A7" s="40"/>
    </row>
    <row r="8" spans="1:3" s="11" customFormat="1" x14ac:dyDescent="0.25">
      <c r="A8" s="20"/>
    </row>
    <row r="9" spans="1:3" s="11" customFormat="1" x14ac:dyDescent="0.25">
      <c r="A9" s="20"/>
    </row>
    <row r="10" spans="1:3" s="11" customFormat="1" x14ac:dyDescent="0.25">
      <c r="A10" s="90" t="s">
        <v>285</v>
      </c>
    </row>
    <row r="11" spans="1:3" s="11" customFormat="1" x14ac:dyDescent="0.25">
      <c r="A11" s="20"/>
    </row>
    <row r="12" spans="1:3" s="11" customFormat="1" x14ac:dyDescent="0.25">
      <c r="A12" s="7"/>
    </row>
    <row r="13" spans="1:3" s="40" customFormat="1" x14ac:dyDescent="0.25">
      <c r="A13" s="7"/>
    </row>
    <row r="14" spans="1:3" s="40" customFormat="1" x14ac:dyDescent="0.25">
      <c r="A14" s="7"/>
    </row>
    <row r="15" spans="1:3" s="90" customFormat="1" x14ac:dyDescent="0.25">
      <c r="A15" s="7"/>
    </row>
    <row r="16" spans="1:3" s="40" customFormat="1" x14ac:dyDescent="0.25">
      <c r="A16" s="7"/>
    </row>
    <row r="17" spans="1:3" s="11" customFormat="1" x14ac:dyDescent="0.25">
      <c r="A17" s="7"/>
      <c r="B17" s="10"/>
    </row>
    <row r="18" spans="1:3" s="11" customFormat="1" x14ac:dyDescent="0.25">
      <c r="A18" s="7"/>
      <c r="B18" s="40"/>
      <c r="C18" s="40"/>
    </row>
    <row r="19" spans="1:3" s="11" customFormat="1" x14ac:dyDescent="0.25">
      <c r="A19" s="7"/>
      <c r="C19" s="40"/>
    </row>
    <row r="20" spans="1:3" s="11" customFormat="1" ht="15.6" x14ac:dyDescent="0.3">
      <c r="A20" s="13"/>
      <c r="B20" s="13"/>
      <c r="C20" s="40"/>
    </row>
    <row r="21" spans="1:3" s="11" customFormat="1" x14ac:dyDescent="0.25">
      <c r="A21" s="7"/>
      <c r="C21" s="40"/>
    </row>
    <row r="22" spans="1:3" s="11" customFormat="1" x14ac:dyDescent="0.25">
      <c r="A22" s="7"/>
    </row>
    <row r="23" spans="1:3" s="11" customFormat="1" x14ac:dyDescent="0.25">
      <c r="A23" s="7"/>
      <c r="B23" s="40"/>
    </row>
    <row r="24" spans="1:3" s="11" customFormat="1" x14ac:dyDescent="0.25">
      <c r="A24" s="7"/>
      <c r="B24" s="10"/>
    </row>
    <row r="25" spans="1:3" s="11" customFormat="1" x14ac:dyDescent="0.25">
      <c r="A25" s="7"/>
    </row>
    <row r="26" spans="1:3" s="11" customFormat="1" x14ac:dyDescent="0.25">
      <c r="A26" s="7"/>
    </row>
    <row r="27" spans="1:3" s="11" customFormat="1" x14ac:dyDescent="0.25">
      <c r="A27" s="7"/>
      <c r="B27" s="40"/>
      <c r="C27" s="90"/>
    </row>
    <row r="28" spans="1:3" s="11" customFormat="1" x14ac:dyDescent="0.25">
      <c r="A28" s="7"/>
      <c r="C28" s="40"/>
    </row>
    <row r="29" spans="1:3" s="11" customFormat="1" x14ac:dyDescent="0.25">
      <c r="A29" s="14"/>
      <c r="B29" s="15"/>
      <c r="C29" s="40"/>
    </row>
    <row r="30" spans="1:3" s="11" customFormat="1" x14ac:dyDescent="0.25">
      <c r="A30" s="14"/>
      <c r="B30" s="15"/>
      <c r="C30" s="40"/>
    </row>
    <row r="31" spans="1:3" s="11" customFormat="1" x14ac:dyDescent="0.25">
      <c r="A31" s="14"/>
      <c r="B31" s="15"/>
    </row>
    <row r="32" spans="1:3" s="11" customFormat="1" x14ac:dyDescent="0.25">
      <c r="A32" s="14"/>
      <c r="B32" s="15"/>
    </row>
    <row r="33" spans="1:3" s="11" customFormat="1" x14ac:dyDescent="0.25">
      <c r="A33" s="7"/>
    </row>
    <row r="34" spans="1:3" s="11" customFormat="1" x14ac:dyDescent="0.25">
      <c r="A34" s="7"/>
    </row>
    <row r="35" spans="1:3" s="40" customFormat="1" x14ac:dyDescent="0.25">
      <c r="A35" s="14"/>
    </row>
    <row r="36" spans="1:3" s="11" customFormat="1" x14ac:dyDescent="0.25">
      <c r="B36" s="10"/>
      <c r="C36" s="40"/>
    </row>
    <row r="37" spans="1:3" s="11" customFormat="1" x14ac:dyDescent="0.25">
      <c r="A37" s="7"/>
      <c r="C37" s="40"/>
    </row>
    <row r="38" spans="1:3" s="11" customFormat="1" x14ac:dyDescent="0.25">
      <c r="A38" s="7"/>
      <c r="C38" s="40"/>
    </row>
    <row r="39" spans="1:3" s="11" customFormat="1" x14ac:dyDescent="0.25">
      <c r="A39" s="14"/>
      <c r="C39" s="40"/>
    </row>
    <row r="40" spans="1:3" s="11" customFormat="1" x14ac:dyDescent="0.25">
      <c r="A40" s="7"/>
      <c r="C40" s="40"/>
    </row>
    <row r="41" spans="1:3" s="11" customFormat="1" x14ac:dyDescent="0.25">
      <c r="A41" s="7"/>
    </row>
    <row r="42" spans="1:3" s="11" customFormat="1" ht="12.75" customHeight="1" x14ac:dyDescent="0.25">
      <c r="A42" s="14"/>
      <c r="B42" s="40"/>
    </row>
    <row r="43" spans="1:3" s="11" customFormat="1" x14ac:dyDescent="0.25">
      <c r="A43" s="7"/>
    </row>
    <row r="44" spans="1:3" s="40" customFormat="1" x14ac:dyDescent="0.25">
      <c r="A44" s="7"/>
    </row>
    <row r="45" spans="1:3" s="11" customFormat="1" x14ac:dyDescent="0.25">
      <c r="A45" s="7"/>
    </row>
    <row r="46" spans="1:3" s="11" customFormat="1" x14ac:dyDescent="0.25">
      <c r="A46" s="7"/>
      <c r="B46" s="40"/>
      <c r="C46" s="40"/>
    </row>
    <row r="47" spans="1:3" x14ac:dyDescent="0.25">
      <c r="A47" s="7"/>
      <c r="B47" s="11"/>
      <c r="C47" s="40"/>
    </row>
    <row r="48" spans="1:3" x14ac:dyDescent="0.25">
      <c r="A48" s="7"/>
      <c r="C48" s="40"/>
    </row>
    <row r="49" spans="1:4" x14ac:dyDescent="0.25">
      <c r="A49" s="7"/>
      <c r="B49" s="10"/>
    </row>
    <row r="50" spans="1:4" x14ac:dyDescent="0.25">
      <c r="A50" s="7"/>
      <c r="B50" s="40"/>
    </row>
    <row r="51" spans="1:4" x14ac:dyDescent="0.25">
      <c r="A51" s="7"/>
      <c r="D51" s="11"/>
    </row>
    <row r="52" spans="1:4" x14ac:dyDescent="0.25">
      <c r="A52" s="7"/>
      <c r="D52" s="11"/>
    </row>
    <row r="53" spans="1:4" x14ac:dyDescent="0.25">
      <c r="A53" s="7"/>
      <c r="B53" s="10"/>
      <c r="D53" s="11"/>
    </row>
    <row r="54" spans="1:4" x14ac:dyDescent="0.25">
      <c r="A54" s="7"/>
    </row>
    <row r="55" spans="1:4" x14ac:dyDescent="0.25">
      <c r="A55" s="7"/>
    </row>
    <row r="58" spans="1:4" s="7" customFormat="1" x14ac:dyDescent="0.25"/>
  </sheetData>
  <dataConsolidate/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7"/>
  <sheetViews>
    <sheetView showGridLines="0" topLeftCell="A25" workbookViewId="0">
      <selection activeCell="E49" sqref="E49"/>
    </sheetView>
  </sheetViews>
  <sheetFormatPr defaultRowHeight="13.2" x14ac:dyDescent="0.25"/>
  <cols>
    <col min="3" max="3" width="48.21875" customWidth="1"/>
    <col min="4" max="5" width="10.77734375" style="271" customWidth="1"/>
    <col min="6" max="6" width="10.77734375" style="271" hidden="1" customWidth="1"/>
    <col min="7" max="7" width="10.77734375" style="271" customWidth="1"/>
    <col min="8" max="10" width="10.77734375" customWidth="1"/>
    <col min="11" max="11" width="10.77734375" style="90" customWidth="1"/>
    <col min="12" max="12" width="8.88671875" bestFit="1" customWidth="1"/>
  </cols>
  <sheetData>
    <row r="1" spans="1:11" ht="17.399999999999999" x14ac:dyDescent="0.3">
      <c r="A1" s="179" t="s">
        <v>399</v>
      </c>
      <c r="B1" s="250"/>
      <c r="C1" s="202"/>
      <c r="D1" s="202"/>
      <c r="E1" s="202"/>
      <c r="F1" s="202"/>
      <c r="G1" s="202"/>
      <c r="H1" s="188"/>
      <c r="I1" s="188"/>
      <c r="J1" s="188"/>
      <c r="K1" s="188"/>
    </row>
    <row r="2" spans="1:11" ht="21.6" customHeight="1" x14ac:dyDescent="0.25">
      <c r="A2" s="205" t="s">
        <v>483</v>
      </c>
      <c r="B2" s="180"/>
      <c r="C2" s="181"/>
      <c r="D2" s="420" t="s">
        <v>492</v>
      </c>
      <c r="E2" s="373" t="s">
        <v>492</v>
      </c>
      <c r="F2" s="182" t="s">
        <v>493</v>
      </c>
      <c r="G2" s="182" t="s">
        <v>493</v>
      </c>
      <c r="H2" s="182" t="s">
        <v>493</v>
      </c>
      <c r="I2" s="182" t="s">
        <v>493</v>
      </c>
      <c r="J2" s="182" t="s">
        <v>493</v>
      </c>
      <c r="K2" s="182" t="s">
        <v>493</v>
      </c>
    </row>
    <row r="3" spans="1:11" x14ac:dyDescent="0.25">
      <c r="A3" s="184" t="s">
        <v>461</v>
      </c>
      <c r="B3" s="185"/>
      <c r="C3" s="185"/>
      <c r="D3" s="421" t="s">
        <v>534</v>
      </c>
      <c r="E3" s="272" t="s">
        <v>491</v>
      </c>
      <c r="F3" s="270" t="s">
        <v>498</v>
      </c>
      <c r="G3" s="272" t="s">
        <v>476</v>
      </c>
      <c r="H3" s="187" t="s">
        <v>454</v>
      </c>
      <c r="I3" s="187" t="s">
        <v>449</v>
      </c>
      <c r="J3" s="187" t="s">
        <v>440</v>
      </c>
      <c r="K3" s="186" t="s">
        <v>497</v>
      </c>
    </row>
    <row r="4" spans="1:11" x14ac:dyDescent="0.25">
      <c r="A4" s="188" t="s">
        <v>328</v>
      </c>
      <c r="B4" s="189"/>
      <c r="C4" s="189"/>
      <c r="D4" s="359">
        <v>37.120649</v>
      </c>
      <c r="E4" s="220">
        <v>38.756777</v>
      </c>
      <c r="F4" s="220">
        <v>103.971783</v>
      </c>
      <c r="G4" s="220">
        <v>39.311763999999997</v>
      </c>
      <c r="H4" s="220">
        <v>40.251458</v>
      </c>
      <c r="I4" s="220">
        <v>12.237014</v>
      </c>
      <c r="J4" s="220">
        <v>12.171547</v>
      </c>
      <c r="K4" s="220">
        <v>48.468324000000003</v>
      </c>
    </row>
    <row r="5" spans="1:11" x14ac:dyDescent="0.25">
      <c r="A5" s="190" t="s">
        <v>441</v>
      </c>
      <c r="B5" s="189"/>
      <c r="C5" s="189"/>
      <c r="D5" s="359">
        <v>14.661792</v>
      </c>
      <c r="E5" s="220">
        <v>9.9877929999999999</v>
      </c>
      <c r="F5" s="220">
        <v>22.740065999999999</v>
      </c>
      <c r="G5" s="220">
        <v>11.722977</v>
      </c>
      <c r="H5" s="220">
        <v>-6.5653969999999999</v>
      </c>
      <c r="I5" s="220">
        <v>8.0627449999999996</v>
      </c>
      <c r="J5" s="220">
        <v>9.5197409999999998</v>
      </c>
      <c r="K5" s="220">
        <v>37.478478000000003</v>
      </c>
    </row>
    <row r="6" spans="1:11" x14ac:dyDescent="0.25">
      <c r="A6" s="191" t="s">
        <v>442</v>
      </c>
      <c r="B6" s="189"/>
      <c r="C6" s="189"/>
      <c r="D6" s="359">
        <v>25.261892</v>
      </c>
      <c r="E6" s="220">
        <v>22.751591000000001</v>
      </c>
      <c r="F6" s="220">
        <v>87.698263999999995</v>
      </c>
      <c r="G6" s="220">
        <v>21.743504000000001</v>
      </c>
      <c r="H6" s="220">
        <v>21.049509</v>
      </c>
      <c r="I6" s="220">
        <v>23.621449999999999</v>
      </c>
      <c r="J6" s="220">
        <v>21.283801</v>
      </c>
      <c r="K6" s="220">
        <v>82.999848</v>
      </c>
    </row>
    <row r="7" spans="1:11" x14ac:dyDescent="0.25">
      <c r="A7" s="191" t="s">
        <v>443</v>
      </c>
      <c r="B7" s="189"/>
      <c r="C7" s="189"/>
      <c r="D7" s="359">
        <v>-10.600099999999999</v>
      </c>
      <c r="E7" s="220">
        <v>-12.763798</v>
      </c>
      <c r="F7" s="220">
        <v>-64.958197999999996</v>
      </c>
      <c r="G7" s="220">
        <v>-10.020527</v>
      </c>
      <c r="H7" s="220">
        <v>-27.614906000000001</v>
      </c>
      <c r="I7" s="220">
        <v>-15.558705</v>
      </c>
      <c r="J7" s="220">
        <v>-11.764060000000001</v>
      </c>
      <c r="K7" s="220">
        <v>-45.521369999999997</v>
      </c>
    </row>
    <row r="8" spans="1:11" x14ac:dyDescent="0.25">
      <c r="A8" s="188" t="s">
        <v>444</v>
      </c>
      <c r="B8" s="189"/>
      <c r="C8" s="189"/>
      <c r="D8" s="359">
        <v>3.1849599999999998</v>
      </c>
      <c r="E8" s="220">
        <v>1.1222780000000001</v>
      </c>
      <c r="F8" s="220">
        <v>-79.665017000000006</v>
      </c>
      <c r="G8" s="220">
        <v>1.6012409999999999</v>
      </c>
      <c r="H8" s="220">
        <v>1.3471770000000001</v>
      </c>
      <c r="I8" s="220">
        <v>0.91414399999999996</v>
      </c>
      <c r="J8" s="220">
        <v>1.065609</v>
      </c>
      <c r="K8" s="220">
        <v>-63.111626000000001</v>
      </c>
    </row>
    <row r="9" spans="1:11" x14ac:dyDescent="0.25">
      <c r="A9" s="191" t="s">
        <v>445</v>
      </c>
      <c r="B9" s="189"/>
      <c r="C9" s="189"/>
      <c r="D9" s="359">
        <v>7.0214049999999997</v>
      </c>
      <c r="E9" s="220">
        <v>6.4178499999999996</v>
      </c>
      <c r="F9" s="220">
        <v>19.634989999999998</v>
      </c>
      <c r="G9" s="220">
        <v>5.58148</v>
      </c>
      <c r="H9" s="220">
        <v>3.7489789999999998</v>
      </c>
      <c r="I9" s="220">
        <v>3.828319</v>
      </c>
      <c r="J9" s="220">
        <v>6.4762120000000003</v>
      </c>
      <c r="K9" s="220">
        <v>22.024688999999999</v>
      </c>
    </row>
    <row r="10" spans="1:11" x14ac:dyDescent="0.25">
      <c r="A10" s="191" t="s">
        <v>446</v>
      </c>
      <c r="B10" s="189"/>
      <c r="C10" s="189"/>
      <c r="D10" s="359">
        <v>-3.8364449999999999</v>
      </c>
      <c r="E10" s="220">
        <v>-5.2955719999999999</v>
      </c>
      <c r="F10" s="220">
        <v>-14.706818999999999</v>
      </c>
      <c r="G10" s="220">
        <v>-3.9802390000000001</v>
      </c>
      <c r="H10" s="220">
        <v>-2.401802</v>
      </c>
      <c r="I10" s="220">
        <v>-2.9141750000000002</v>
      </c>
      <c r="J10" s="220">
        <v>-5.4106030000000001</v>
      </c>
      <c r="K10" s="220">
        <v>-17.590256</v>
      </c>
    </row>
    <row r="11" spans="1:11" x14ac:dyDescent="0.25">
      <c r="A11" s="188" t="s">
        <v>333</v>
      </c>
      <c r="B11" s="189"/>
      <c r="C11" s="189"/>
      <c r="D11" s="359">
        <v>-3.6433949999999999</v>
      </c>
      <c r="E11" s="220">
        <v>-0.68149499999999996</v>
      </c>
      <c r="F11" s="220">
        <v>12.303353</v>
      </c>
      <c r="G11" s="220">
        <v>-1.4674259999999999</v>
      </c>
      <c r="H11" s="220">
        <v>14.090828</v>
      </c>
      <c r="I11" s="220">
        <v>0.45180700000000001</v>
      </c>
      <c r="J11" s="220">
        <v>-0.77185599999999999</v>
      </c>
      <c r="K11" s="220">
        <v>-2.5545870000000002</v>
      </c>
    </row>
    <row r="12" spans="1:11" x14ac:dyDescent="0.25">
      <c r="A12" s="192" t="s">
        <v>334</v>
      </c>
      <c r="B12" s="189"/>
      <c r="C12" s="193"/>
      <c r="D12" s="359">
        <v>2.8822E-2</v>
      </c>
      <c r="E12" s="220">
        <v>1.0102999999999999E-2</v>
      </c>
      <c r="F12" s="220">
        <v>0.28125299999999998</v>
      </c>
      <c r="G12" s="220">
        <v>5.5259999999999997E-3</v>
      </c>
      <c r="H12" s="220">
        <v>0.27209899999999998</v>
      </c>
      <c r="I12" s="220">
        <v>1.2459999999999999E-3</v>
      </c>
      <c r="J12" s="220">
        <v>2.382E-3</v>
      </c>
      <c r="K12" s="220">
        <v>0.10985200000000001</v>
      </c>
    </row>
    <row r="13" spans="1:11" x14ac:dyDescent="0.25">
      <c r="A13" s="194" t="s">
        <v>462</v>
      </c>
      <c r="B13" s="189"/>
      <c r="C13" s="189"/>
      <c r="D13" s="359">
        <v>3.4031280000000002</v>
      </c>
      <c r="E13" s="220">
        <v>2.1841699999999999</v>
      </c>
      <c r="F13" s="220">
        <v>12.898809999999999</v>
      </c>
      <c r="G13" s="220">
        <v>4.6043599999999998</v>
      </c>
      <c r="H13" s="220">
        <v>7.1193809999999997</v>
      </c>
      <c r="I13" s="220">
        <v>0.67350699999999997</v>
      </c>
      <c r="J13" s="220">
        <v>0.50156199999999995</v>
      </c>
      <c r="K13" s="220">
        <v>1.870884</v>
      </c>
    </row>
    <row r="14" spans="1:11" s="90" customFormat="1" x14ac:dyDescent="0.25">
      <c r="A14" s="194" t="s">
        <v>335</v>
      </c>
      <c r="B14" s="189"/>
      <c r="C14" s="189"/>
      <c r="D14" s="359"/>
      <c r="E14" s="220"/>
      <c r="F14" s="220"/>
      <c r="G14" s="220">
        <v>2.5099999999999998E-4</v>
      </c>
      <c r="H14" s="220">
        <v>0.80132899999999996</v>
      </c>
      <c r="I14" s="220">
        <v>8.0509999999999998E-2</v>
      </c>
      <c r="J14" s="220">
        <v>0.52688500000000005</v>
      </c>
      <c r="K14" s="220">
        <v>3.5716290000000002</v>
      </c>
    </row>
    <row r="15" spans="1:11" x14ac:dyDescent="0.25">
      <c r="A15" s="188" t="s">
        <v>494</v>
      </c>
      <c r="B15" s="189"/>
      <c r="C15" s="189"/>
      <c r="D15" s="359">
        <v>-7.2020000000000001E-2</v>
      </c>
      <c r="E15" s="220">
        <v>1.2838989999999999</v>
      </c>
      <c r="F15" s="220">
        <v>1.4089750000000001</v>
      </c>
    </row>
    <row r="16" spans="1:11" x14ac:dyDescent="0.25">
      <c r="A16" s="188" t="s">
        <v>336</v>
      </c>
      <c r="B16" s="189"/>
      <c r="C16" s="189"/>
      <c r="D16" s="359">
        <v>7.6568170000000002</v>
      </c>
      <c r="E16" s="220">
        <v>8.5057980000000004</v>
      </c>
      <c r="F16" s="220">
        <v>17.674935999999999</v>
      </c>
      <c r="G16" s="220">
        <v>9.5835670000000004</v>
      </c>
      <c r="H16" s="220">
        <v>10.990679</v>
      </c>
      <c r="I16" s="220">
        <v>-1.464321</v>
      </c>
      <c r="J16" s="220">
        <v>-1.4349890000000001</v>
      </c>
      <c r="K16" s="220">
        <v>-4.1809029999999998</v>
      </c>
    </row>
    <row r="17" spans="1:12" x14ac:dyDescent="0.25">
      <c r="A17" s="188" t="s">
        <v>447</v>
      </c>
      <c r="B17" s="189"/>
      <c r="C17" s="189"/>
      <c r="D17" s="359">
        <v>-0.31069099999999999</v>
      </c>
      <c r="E17" s="220">
        <v>-1.1025849999999999</v>
      </c>
      <c r="F17" s="220">
        <v>-3.8454660000000001</v>
      </c>
      <c r="G17" s="220">
        <v>-0.33504200000000001</v>
      </c>
      <c r="H17" s="220">
        <v>-4.3522759999999998</v>
      </c>
      <c r="I17" s="220">
        <v>0.59198799999999996</v>
      </c>
      <c r="J17" s="220">
        <v>0.249864</v>
      </c>
      <c r="K17" s="220">
        <v>-4.8783700000000003</v>
      </c>
      <c r="L17" s="90"/>
    </row>
    <row r="18" spans="1:12" x14ac:dyDescent="0.25">
      <c r="A18" s="231" t="s">
        <v>463</v>
      </c>
      <c r="B18" s="232"/>
      <c r="C18" s="232"/>
      <c r="D18" s="360">
        <v>62.030062000000001</v>
      </c>
      <c r="E18" s="230">
        <v>60.066738000000001</v>
      </c>
      <c r="F18" s="230">
        <v>172.36188100000001</v>
      </c>
      <c r="G18" s="230">
        <v>65.027218000000005</v>
      </c>
      <c r="H18" s="230">
        <v>63.955278</v>
      </c>
      <c r="I18" s="230">
        <v>21.548639999999999</v>
      </c>
      <c r="J18" s="230">
        <v>21.830745</v>
      </c>
      <c r="K18" s="230">
        <v>84.319739999999996</v>
      </c>
      <c r="L18" s="90"/>
    </row>
    <row r="19" spans="1:12" x14ac:dyDescent="0.25">
      <c r="A19" s="188" t="s">
        <v>303</v>
      </c>
      <c r="B19" s="197"/>
      <c r="C19" s="197"/>
      <c r="D19" s="359">
        <v>-30.810874999999999</v>
      </c>
      <c r="E19" s="220">
        <v>-46.370038999999998</v>
      </c>
      <c r="F19" s="220">
        <v>-96.495114000000001</v>
      </c>
      <c r="G19" s="220">
        <v>-34.561284999999998</v>
      </c>
      <c r="H19" s="220">
        <v>-32.741483000000002</v>
      </c>
      <c r="I19" s="220">
        <v>-13.362581</v>
      </c>
      <c r="J19" s="220">
        <v>-15.829765</v>
      </c>
      <c r="K19" s="220">
        <v>-56.135533000000002</v>
      </c>
      <c r="L19" s="90"/>
    </row>
    <row r="20" spans="1:12" x14ac:dyDescent="0.25">
      <c r="A20" s="188" t="s">
        <v>304</v>
      </c>
      <c r="B20" s="189"/>
      <c r="C20" s="189"/>
      <c r="D20" s="359">
        <v>-2.829056</v>
      </c>
      <c r="E20" s="220">
        <v>9.1559380000000008</v>
      </c>
      <c r="F20" s="220">
        <v>-20.337430999999999</v>
      </c>
      <c r="G20" s="220">
        <v>-9.1015339999999991</v>
      </c>
      <c r="H20" s="220">
        <v>-7.2450549999999998</v>
      </c>
      <c r="I20" s="220">
        <v>-2.610382</v>
      </c>
      <c r="J20" s="220">
        <v>-1.38046</v>
      </c>
      <c r="K20" s="220">
        <v>-6.1997090000000004</v>
      </c>
      <c r="L20" s="90"/>
    </row>
    <row r="21" spans="1:12" x14ac:dyDescent="0.25">
      <c r="A21" s="191" t="s">
        <v>530</v>
      </c>
      <c r="B21" s="189"/>
      <c r="C21" s="189"/>
      <c r="D21" s="359"/>
      <c r="E21" s="220"/>
      <c r="F21" s="220">
        <v>-17.446722999999999</v>
      </c>
      <c r="G21" s="220">
        <v>-6.7740729999999996</v>
      </c>
      <c r="H21" s="220">
        <v>-6.6853889999999998</v>
      </c>
      <c r="I21" s="220">
        <v>-2.6053850000000001</v>
      </c>
      <c r="J21" s="220">
        <v>-1.3818760000000001</v>
      </c>
      <c r="K21" s="220">
        <v>-2.8912640000000001</v>
      </c>
    </row>
    <row r="22" spans="1:12" s="90" customFormat="1" x14ac:dyDescent="0.25">
      <c r="A22" s="191" t="s">
        <v>531</v>
      </c>
      <c r="B22" s="189"/>
      <c r="C22" s="189"/>
      <c r="D22" s="359">
        <v>2.7573889999999999</v>
      </c>
      <c r="E22" s="220">
        <v>9.1887740000000004</v>
      </c>
      <c r="F22" s="220"/>
      <c r="G22" s="220"/>
      <c r="H22" s="220"/>
      <c r="I22" s="220"/>
      <c r="J22" s="220"/>
      <c r="K22" s="220"/>
    </row>
    <row r="23" spans="1:12" x14ac:dyDescent="0.25">
      <c r="A23" s="191" t="s">
        <v>532</v>
      </c>
      <c r="B23" s="189"/>
      <c r="C23" s="189"/>
      <c r="D23" s="359"/>
      <c r="E23" s="220"/>
      <c r="F23" s="220">
        <v>-0.51</v>
      </c>
      <c r="G23" s="220">
        <v>0</v>
      </c>
      <c r="H23" s="220">
        <v>-0.51</v>
      </c>
      <c r="I23" s="220">
        <v>0</v>
      </c>
      <c r="J23" s="220">
        <v>0</v>
      </c>
      <c r="K23" s="220">
        <v>-6.6464999999999996E-2</v>
      </c>
    </row>
    <row r="24" spans="1:12" s="90" customFormat="1" x14ac:dyDescent="0.25">
      <c r="A24" s="191" t="s">
        <v>533</v>
      </c>
      <c r="B24" s="189"/>
      <c r="C24" s="189"/>
      <c r="D24" s="359">
        <v>3.0249999999999999E-3</v>
      </c>
      <c r="E24" s="220">
        <v>6.5339999999999999E-3</v>
      </c>
      <c r="F24" s="220"/>
      <c r="G24" s="220"/>
      <c r="H24" s="220"/>
      <c r="I24" s="220"/>
      <c r="J24" s="220"/>
      <c r="K24" s="220"/>
    </row>
    <row r="25" spans="1:12" x14ac:dyDescent="0.25">
      <c r="A25" s="191" t="s">
        <v>464</v>
      </c>
      <c r="B25" s="189"/>
      <c r="C25" s="189"/>
      <c r="D25" s="359">
        <v>-5.5894700000000004</v>
      </c>
      <c r="E25" s="220">
        <v>-3.9370000000000002E-2</v>
      </c>
      <c r="F25" s="220">
        <v>-2.2542270000000002</v>
      </c>
      <c r="G25" s="220">
        <v>-2.2009799999999999</v>
      </c>
      <c r="H25" s="220">
        <v>-4.9666000000000002E-2</v>
      </c>
      <c r="I25" s="220">
        <v>-4.9969999999999997E-3</v>
      </c>
      <c r="J25" s="220">
        <v>1.4159999999999999E-3</v>
      </c>
      <c r="K25" s="220">
        <v>-3.2419799999999999</v>
      </c>
    </row>
    <row r="26" spans="1:12" x14ac:dyDescent="0.25">
      <c r="A26" s="188" t="s">
        <v>355</v>
      </c>
      <c r="B26" s="189"/>
      <c r="C26" s="193"/>
      <c r="D26" s="359">
        <v>0.27352199999999999</v>
      </c>
      <c r="E26" s="220">
        <v>0.52959500000000004</v>
      </c>
      <c r="F26" s="220">
        <v>7.2040999999999994E-2</v>
      </c>
      <c r="G26" s="220">
        <v>-0.58461799999999997</v>
      </c>
      <c r="H26" s="220">
        <v>0.65665899999999999</v>
      </c>
      <c r="I26" s="220">
        <v>0</v>
      </c>
      <c r="J26" s="220">
        <v>0</v>
      </c>
      <c r="K26" s="220">
        <v>0</v>
      </c>
    </row>
    <row r="27" spans="1:12" x14ac:dyDescent="0.25">
      <c r="A27" s="233" t="s">
        <v>465</v>
      </c>
      <c r="B27" s="232"/>
      <c r="C27" s="232"/>
      <c r="D27" s="360">
        <v>28.663653</v>
      </c>
      <c r="E27" s="230">
        <v>23.382231999999998</v>
      </c>
      <c r="F27" s="230">
        <v>55.601376999999999</v>
      </c>
      <c r="G27" s="230">
        <v>20.779781</v>
      </c>
      <c r="H27" s="230">
        <v>24.625399000000002</v>
      </c>
      <c r="I27" s="230">
        <v>5.5756769999999998</v>
      </c>
      <c r="J27" s="230">
        <v>4.62052</v>
      </c>
      <c r="K27" s="230">
        <v>21.984497999999999</v>
      </c>
    </row>
    <row r="28" spans="1:12" x14ac:dyDescent="0.25">
      <c r="A28" s="233" t="s">
        <v>340</v>
      </c>
      <c r="B28" s="234"/>
      <c r="C28" s="234"/>
      <c r="D28" s="360">
        <v>-2.9914040000000002</v>
      </c>
      <c r="E28" s="230">
        <v>-2.3306629999999999</v>
      </c>
      <c r="F28" s="230">
        <v>-5.7118549999999999</v>
      </c>
      <c r="G28" s="230">
        <v>-2.2748819999999998</v>
      </c>
      <c r="H28" s="230">
        <v>-2.5284</v>
      </c>
      <c r="I28" s="230">
        <v>-0.40803299999999998</v>
      </c>
      <c r="J28" s="230">
        <v>-0.50053999999999998</v>
      </c>
      <c r="K28" s="230">
        <v>-0.46903800000000001</v>
      </c>
    </row>
    <row r="29" spans="1:12" x14ac:dyDescent="0.25">
      <c r="A29" s="233" t="s">
        <v>466</v>
      </c>
      <c r="B29" s="232"/>
      <c r="C29" s="232"/>
      <c r="D29" s="360">
        <v>25.672249000000001</v>
      </c>
      <c r="E29" s="230">
        <v>21.051569000000001</v>
      </c>
      <c r="F29" s="230">
        <v>49.889521999999999</v>
      </c>
      <c r="G29" s="230">
        <v>18.504899000000002</v>
      </c>
      <c r="H29" s="230">
        <v>22.096999</v>
      </c>
      <c r="I29" s="230">
        <v>5.1676440000000001</v>
      </c>
      <c r="J29" s="230">
        <v>4.11998</v>
      </c>
      <c r="K29" s="230">
        <v>21.515460000000001</v>
      </c>
    </row>
    <row r="30" spans="1:12" x14ac:dyDescent="0.25">
      <c r="A30" s="191" t="s">
        <v>467</v>
      </c>
      <c r="B30" s="189"/>
      <c r="C30" s="189"/>
      <c r="D30" s="359">
        <v>1.2992E-2</v>
      </c>
      <c r="E30" s="220">
        <v>1.7995000000000001E-2</v>
      </c>
      <c r="F30" s="220">
        <v>3.3519E-2</v>
      </c>
      <c r="G30" s="220">
        <v>1.4496999999999999E-2</v>
      </c>
      <c r="H30" s="220">
        <v>1.9022000000000001E-2</v>
      </c>
      <c r="I30" s="220">
        <v>0</v>
      </c>
      <c r="J30" s="220">
        <v>0</v>
      </c>
      <c r="K30" s="220">
        <v>0</v>
      </c>
    </row>
    <row r="31" spans="1:12" x14ac:dyDescent="0.25">
      <c r="A31" s="235" t="s">
        <v>346</v>
      </c>
      <c r="B31" s="236"/>
      <c r="C31" s="236"/>
      <c r="D31" s="362">
        <v>25.659257</v>
      </c>
      <c r="E31" s="220">
        <v>21.033574000000002</v>
      </c>
      <c r="F31" s="220">
        <v>49.856003000000001</v>
      </c>
      <c r="G31" s="220">
        <v>18.490402</v>
      </c>
      <c r="H31" s="220">
        <v>22.077977000000001</v>
      </c>
      <c r="I31" s="220">
        <v>5.1676440000000001</v>
      </c>
      <c r="J31" s="220">
        <v>4.11998</v>
      </c>
      <c r="K31" s="220">
        <v>21.515460000000001</v>
      </c>
    </row>
    <row r="32" spans="1:12" x14ac:dyDescent="0.25">
      <c r="A32" s="237" t="s">
        <v>325</v>
      </c>
      <c r="B32" s="238"/>
      <c r="C32" s="239"/>
      <c r="D32" s="359">
        <v>23.069091</v>
      </c>
      <c r="E32" s="240">
        <v>18.3902</v>
      </c>
      <c r="F32" s="240">
        <v>44.423067000000003</v>
      </c>
      <c r="G32" s="240">
        <v>16.810378</v>
      </c>
      <c r="H32" s="240">
        <v>20.674385999999998</v>
      </c>
      <c r="I32" s="240">
        <v>4.1430040000000004</v>
      </c>
      <c r="J32" s="240">
        <v>2.795299</v>
      </c>
      <c r="K32" s="240">
        <v>17.699484000000002</v>
      </c>
    </row>
    <row r="33" spans="1:11" ht="21" x14ac:dyDescent="0.25">
      <c r="A33" s="241" t="s">
        <v>326</v>
      </c>
      <c r="B33" s="146"/>
      <c r="C33" s="146"/>
      <c r="D33" s="359">
        <v>2.590166</v>
      </c>
      <c r="E33" s="242">
        <v>2.6433740000000001</v>
      </c>
      <c r="F33" s="242">
        <v>5.4329359999999998</v>
      </c>
      <c r="G33" s="242">
        <v>1.680024</v>
      </c>
      <c r="H33" s="242">
        <v>1.403591</v>
      </c>
      <c r="I33" s="242">
        <v>1.02464</v>
      </c>
      <c r="J33" s="242">
        <v>1.324681</v>
      </c>
      <c r="K33" s="242">
        <v>3.815976</v>
      </c>
    </row>
    <row r="34" spans="1:11" ht="21" x14ac:dyDescent="0.25">
      <c r="A34" s="244" t="s">
        <v>468</v>
      </c>
      <c r="B34" s="245"/>
      <c r="C34" s="246"/>
      <c r="D34" s="361"/>
      <c r="E34" s="240"/>
      <c r="F34" s="240"/>
      <c r="G34" s="240"/>
      <c r="H34" s="240"/>
      <c r="I34" s="240"/>
      <c r="J34" s="240"/>
      <c r="K34" s="240"/>
    </row>
    <row r="35" spans="1:11" ht="15.6" x14ac:dyDescent="0.25">
      <c r="A35" s="191" t="s">
        <v>477</v>
      </c>
      <c r="B35" s="132"/>
      <c r="C35" s="243"/>
      <c r="D35" s="359">
        <v>2771.7179379999998</v>
      </c>
      <c r="E35" s="220">
        <v>2739.0398730000002</v>
      </c>
      <c r="F35" s="220">
        <v>2716.16563</v>
      </c>
      <c r="G35" s="220">
        <v>2716.16563</v>
      </c>
      <c r="H35" s="220">
        <v>2695.046476</v>
      </c>
      <c r="I35" s="220">
        <v>2683.6520129999999</v>
      </c>
      <c r="J35" s="220">
        <v>826.39935200000002</v>
      </c>
      <c r="K35" s="220">
        <v>835.03877899999998</v>
      </c>
    </row>
    <row r="36" spans="1:11" ht="15.6" x14ac:dyDescent="0.3">
      <c r="A36" s="191" t="s">
        <v>478</v>
      </c>
      <c r="B36" s="105"/>
      <c r="C36" s="243"/>
      <c r="D36" s="359">
        <v>1101.8984620000001</v>
      </c>
      <c r="E36" s="220">
        <v>1112.7937930000001</v>
      </c>
      <c r="F36" s="220">
        <v>1099.6905770000001</v>
      </c>
      <c r="G36" s="220">
        <v>1099.6905770000001</v>
      </c>
      <c r="H36" s="220">
        <v>660.46766200000002</v>
      </c>
      <c r="I36" s="220">
        <v>656.79735500000004</v>
      </c>
      <c r="J36" s="220">
        <v>236.29047399999999</v>
      </c>
      <c r="K36" s="220">
        <v>234.03386800000001</v>
      </c>
    </row>
    <row r="37" spans="1:11" ht="15.6" x14ac:dyDescent="0.3">
      <c r="A37" s="248" t="s">
        <v>479</v>
      </c>
      <c r="B37" s="147"/>
      <c r="C37" s="249"/>
      <c r="D37" s="359">
        <v>3975.7726819999998</v>
      </c>
      <c r="E37" s="220">
        <v>4009.1060200000002</v>
      </c>
      <c r="F37" s="242">
        <v>3902.9810830000001</v>
      </c>
      <c r="G37" s="242">
        <v>3902.9810830000001</v>
      </c>
      <c r="H37" s="242">
        <v>3997.9098570000001</v>
      </c>
      <c r="I37" s="242">
        <v>3846.2488360000002</v>
      </c>
      <c r="J37" s="242">
        <v>808.38966000000005</v>
      </c>
      <c r="K37" s="242">
        <v>791.86972800000001</v>
      </c>
    </row>
    <row r="38" spans="1:11" ht="21" x14ac:dyDescent="0.25">
      <c r="A38" s="244" t="s">
        <v>469</v>
      </c>
      <c r="B38" s="245"/>
      <c r="C38" s="246"/>
      <c r="D38" s="361"/>
      <c r="E38" s="240"/>
      <c r="F38" s="240"/>
      <c r="G38" s="240"/>
      <c r="H38" s="240"/>
      <c r="I38" s="240"/>
      <c r="J38" s="240"/>
      <c r="K38" s="240"/>
    </row>
    <row r="39" spans="1:11" ht="15.6" x14ac:dyDescent="0.3">
      <c r="A39" s="191" t="s">
        <v>470</v>
      </c>
      <c r="B39" s="105"/>
      <c r="C39" s="243"/>
      <c r="D39" s="359">
        <v>79.221463</v>
      </c>
      <c r="E39" s="220">
        <v>78.357601000000003</v>
      </c>
      <c r="F39" s="220">
        <v>43.374890999999998</v>
      </c>
      <c r="G39" s="220">
        <v>43.374890999999998</v>
      </c>
      <c r="H39" s="220">
        <v>43.600119999999997</v>
      </c>
      <c r="I39" s="220">
        <v>47.118070000000003</v>
      </c>
      <c r="J39" s="220">
        <v>51.817532</v>
      </c>
      <c r="K39" s="220">
        <v>48.862839000000001</v>
      </c>
    </row>
    <row r="40" spans="1:11" ht="15.6" x14ac:dyDescent="0.3">
      <c r="A40" s="248" t="s">
        <v>471</v>
      </c>
      <c r="B40" s="147"/>
      <c r="C40" s="249"/>
      <c r="D40" s="362">
        <v>17.406454</v>
      </c>
      <c r="E40" s="242">
        <v>12.725524</v>
      </c>
      <c r="F40" s="242">
        <v>6.9704569999999997</v>
      </c>
      <c r="G40" s="242">
        <v>6.9704569999999997</v>
      </c>
      <c r="H40" s="242">
        <v>5.4818870000000004</v>
      </c>
      <c r="I40" s="242">
        <v>3.6808239999999999</v>
      </c>
      <c r="J40" s="242">
        <v>2.6431719999999999</v>
      </c>
      <c r="K40" s="242">
        <v>1.621969</v>
      </c>
    </row>
    <row r="41" spans="1:11" ht="15.6" x14ac:dyDescent="0.3">
      <c r="A41" s="205" t="s">
        <v>472</v>
      </c>
      <c r="B41" s="97"/>
      <c r="C41" s="206"/>
      <c r="D41" s="359"/>
      <c r="E41" s="220"/>
      <c r="F41" s="220"/>
      <c r="G41" s="220"/>
      <c r="H41" s="220"/>
      <c r="I41" s="220"/>
      <c r="J41" s="220"/>
      <c r="K41" s="220"/>
    </row>
    <row r="42" spans="1:11" ht="15.6" x14ac:dyDescent="0.3">
      <c r="A42" s="191" t="s">
        <v>480</v>
      </c>
      <c r="B42" s="213"/>
      <c r="C42" s="214"/>
      <c r="D42" s="359">
        <v>3045.4004679999998</v>
      </c>
      <c r="E42" s="220">
        <v>2990.1603169999998</v>
      </c>
      <c r="F42" s="220">
        <v>2933.1055729999998</v>
      </c>
      <c r="G42" s="220">
        <v>2933.1055729999998</v>
      </c>
      <c r="H42" s="220">
        <v>2886.1569479999998</v>
      </c>
      <c r="I42" s="220">
        <v>3037.0571970000001</v>
      </c>
      <c r="J42" s="220">
        <v>842.25931000000003</v>
      </c>
      <c r="K42" s="220">
        <v>838.04035299999998</v>
      </c>
    </row>
    <row r="43" spans="1:11" ht="15.6" x14ac:dyDescent="0.3">
      <c r="A43" s="191" t="s">
        <v>473</v>
      </c>
      <c r="B43" s="105"/>
      <c r="C43" s="206"/>
      <c r="D43" s="359">
        <v>38.449795000000002</v>
      </c>
      <c r="E43" s="220">
        <v>36.701492999999999</v>
      </c>
      <c r="F43" s="220">
        <v>41.463912999999998</v>
      </c>
      <c r="G43" s="220">
        <v>41.463912999999998</v>
      </c>
      <c r="H43" s="220">
        <v>37.635806000000002</v>
      </c>
      <c r="I43" s="220">
        <v>36.966602000000002</v>
      </c>
      <c r="J43" s="220">
        <v>37.024543000000001</v>
      </c>
      <c r="K43" s="220">
        <v>38.978506000000003</v>
      </c>
    </row>
    <row r="44" spans="1:11" ht="15.6" x14ac:dyDescent="0.3">
      <c r="A44" s="191" t="s">
        <v>327</v>
      </c>
      <c r="B44" s="105"/>
      <c r="C44" s="206"/>
      <c r="D44" s="359">
        <v>361.262244608</v>
      </c>
      <c r="E44" s="220">
        <v>353.65848660199998</v>
      </c>
      <c r="F44" s="220">
        <v>346.50689259199999</v>
      </c>
      <c r="G44" s="220">
        <v>346.50689259199999</v>
      </c>
      <c r="H44" s="220">
        <v>337.796128592</v>
      </c>
      <c r="I44" s="220">
        <v>352.82055048799998</v>
      </c>
      <c r="J44" s="220">
        <v>124.61951123999999</v>
      </c>
      <c r="K44" s="220">
        <v>124.9460650325</v>
      </c>
    </row>
    <row r="45" spans="1:11" ht="15.6" x14ac:dyDescent="0.3">
      <c r="A45" s="191" t="s">
        <v>342</v>
      </c>
      <c r="B45" s="105"/>
      <c r="C45" s="206"/>
      <c r="D45" s="423">
        <v>0.288497</v>
      </c>
      <c r="E45" s="255">
        <v>0.23832999999999999</v>
      </c>
      <c r="F45" s="215">
        <v>0.211844</v>
      </c>
      <c r="G45" s="255">
        <v>0.314272</v>
      </c>
      <c r="H45" s="255">
        <v>0.48802899999999999</v>
      </c>
      <c r="I45" s="255">
        <v>0.16417899999999999</v>
      </c>
      <c r="J45" s="255">
        <v>0.12614700000000001</v>
      </c>
      <c r="K45" s="215">
        <v>0.15171299999999999</v>
      </c>
    </row>
    <row r="46" spans="1:11" ht="15.6" x14ac:dyDescent="0.3">
      <c r="A46" s="191" t="s">
        <v>343</v>
      </c>
      <c r="B46" s="105"/>
      <c r="C46" s="206"/>
      <c r="D46" s="423">
        <v>0.48087099999999999</v>
      </c>
      <c r="E46" s="255">
        <v>0.79694299999999996</v>
      </c>
      <c r="F46" s="215">
        <v>0.53395300000000001</v>
      </c>
      <c r="G46" s="255">
        <v>0.51876999999999995</v>
      </c>
      <c r="H46" s="255">
        <v>0.49119400000000002</v>
      </c>
      <c r="I46" s="255">
        <v>0.56285399999999997</v>
      </c>
      <c r="J46" s="255">
        <v>0.71610399999999996</v>
      </c>
      <c r="K46" s="215">
        <v>0.60866799999999999</v>
      </c>
    </row>
    <row r="47" spans="1:11" ht="15.6" x14ac:dyDescent="0.3">
      <c r="A47" s="248" t="s">
        <v>344</v>
      </c>
      <c r="B47" s="251"/>
      <c r="C47" s="249"/>
      <c r="D47" s="424">
        <v>0.88432200000000005</v>
      </c>
      <c r="E47" s="256">
        <v>0.934083</v>
      </c>
      <c r="F47" s="252">
        <v>0.96022399999999997</v>
      </c>
      <c r="G47" s="256">
        <v>0.87908200000000003</v>
      </c>
      <c r="H47" s="256">
        <v>1.0223150000000001</v>
      </c>
      <c r="I47" s="256">
        <v>0.981128</v>
      </c>
      <c r="J47" s="256">
        <v>0.95701599999999998</v>
      </c>
      <c r="K47" s="252">
        <v>0.967719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2"/>
  <sheetViews>
    <sheetView showGridLines="0" topLeftCell="A22" workbookViewId="0">
      <selection activeCell="E45" sqref="E45"/>
    </sheetView>
  </sheetViews>
  <sheetFormatPr defaultRowHeight="13.2" x14ac:dyDescent="0.25"/>
  <cols>
    <col min="3" max="3" width="42.5546875" customWidth="1"/>
    <col min="4" max="4" width="10.77734375" style="90" customWidth="1"/>
    <col min="5" max="5" width="10.77734375" style="271" customWidth="1"/>
    <col min="6" max="6" width="10.77734375" style="271" hidden="1" customWidth="1"/>
    <col min="7" max="7" width="10.77734375" style="271" customWidth="1"/>
    <col min="8" max="10" width="10.77734375" customWidth="1"/>
    <col min="11" max="11" width="10.77734375" style="90" customWidth="1"/>
    <col min="12" max="12" width="8.88671875" bestFit="1" customWidth="1"/>
  </cols>
  <sheetData>
    <row r="1" spans="1:11" ht="17.399999999999999" x14ac:dyDescent="0.3">
      <c r="A1" s="179" t="s">
        <v>396</v>
      </c>
      <c r="B1" s="250"/>
      <c r="C1" s="202"/>
      <c r="D1" s="188"/>
      <c r="E1" s="202"/>
      <c r="F1" s="202"/>
      <c r="G1" s="202"/>
      <c r="H1" s="188"/>
      <c r="I1" s="188"/>
      <c r="J1" s="188"/>
      <c r="K1" s="188"/>
    </row>
    <row r="2" spans="1:11" ht="26.4" customHeight="1" x14ac:dyDescent="0.25">
      <c r="A2" s="205" t="s">
        <v>483</v>
      </c>
      <c r="B2" s="180"/>
      <c r="C2" s="181"/>
      <c r="D2" s="420" t="s">
        <v>492</v>
      </c>
      <c r="E2" s="373" t="s">
        <v>492</v>
      </c>
      <c r="F2" s="182" t="s">
        <v>493</v>
      </c>
      <c r="G2" s="182" t="s">
        <v>493</v>
      </c>
      <c r="H2" s="182" t="s">
        <v>493</v>
      </c>
      <c r="I2" s="182" t="s">
        <v>493</v>
      </c>
      <c r="J2" s="182" t="s">
        <v>493</v>
      </c>
      <c r="K2" s="182" t="s">
        <v>493</v>
      </c>
    </row>
    <row r="3" spans="1:11" x14ac:dyDescent="0.25">
      <c r="A3" s="184" t="s">
        <v>461</v>
      </c>
      <c r="B3" s="185"/>
      <c r="C3" s="185"/>
      <c r="D3" s="421" t="s">
        <v>534</v>
      </c>
      <c r="E3" s="272" t="s">
        <v>491</v>
      </c>
      <c r="F3" s="270" t="s">
        <v>498</v>
      </c>
      <c r="G3" s="272" t="s">
        <v>476</v>
      </c>
      <c r="H3" s="187" t="s">
        <v>454</v>
      </c>
      <c r="I3" s="187" t="s">
        <v>449</v>
      </c>
      <c r="J3" s="187" t="s">
        <v>440</v>
      </c>
      <c r="K3" s="186" t="s">
        <v>495</v>
      </c>
    </row>
    <row r="4" spans="1:11" x14ac:dyDescent="0.25">
      <c r="A4" s="188" t="s">
        <v>328</v>
      </c>
      <c r="B4" s="189"/>
      <c r="C4" s="189"/>
      <c r="D4" s="359">
        <v>73.394042999999996</v>
      </c>
      <c r="E4" s="220">
        <v>74.993204000000006</v>
      </c>
      <c r="F4" s="220">
        <v>278.37836900000002</v>
      </c>
      <c r="G4" s="220">
        <v>72.817903999999999</v>
      </c>
      <c r="H4" s="220">
        <v>70.377127000000002</v>
      </c>
      <c r="I4" s="220">
        <v>69.030994000000007</v>
      </c>
      <c r="J4" s="220">
        <v>66.152343999999999</v>
      </c>
      <c r="K4" s="220">
        <v>243.68162699999999</v>
      </c>
    </row>
    <row r="5" spans="1:11" x14ac:dyDescent="0.25">
      <c r="A5" s="190" t="s">
        <v>441</v>
      </c>
      <c r="B5" s="189"/>
      <c r="C5" s="189"/>
      <c r="D5" s="359">
        <v>0</v>
      </c>
      <c r="E5" s="220">
        <v>0</v>
      </c>
      <c r="F5" s="220">
        <v>0</v>
      </c>
      <c r="G5" s="220">
        <v>0</v>
      </c>
      <c r="H5" s="220">
        <v>0</v>
      </c>
      <c r="I5" s="220">
        <v>0</v>
      </c>
      <c r="J5" s="220">
        <v>0</v>
      </c>
      <c r="K5" s="220">
        <v>0</v>
      </c>
    </row>
    <row r="6" spans="1:11" x14ac:dyDescent="0.25">
      <c r="A6" s="191" t="s">
        <v>442</v>
      </c>
      <c r="B6" s="189"/>
      <c r="C6" s="189"/>
      <c r="D6" s="359">
        <v>0</v>
      </c>
      <c r="E6" s="220">
        <v>0</v>
      </c>
      <c r="F6" s="220">
        <v>0</v>
      </c>
      <c r="G6" s="220">
        <v>0</v>
      </c>
      <c r="H6" s="220">
        <v>0</v>
      </c>
      <c r="I6" s="220">
        <v>0</v>
      </c>
      <c r="J6" s="220">
        <v>0</v>
      </c>
      <c r="K6" s="220">
        <v>0</v>
      </c>
    </row>
    <row r="7" spans="1:11" x14ac:dyDescent="0.25">
      <c r="A7" s="191" t="s">
        <v>443</v>
      </c>
      <c r="B7" s="189"/>
      <c r="C7" s="189"/>
      <c r="D7" s="359">
        <v>0</v>
      </c>
      <c r="E7" s="220">
        <v>0</v>
      </c>
      <c r="F7" s="220">
        <v>0</v>
      </c>
      <c r="G7" s="220">
        <v>0</v>
      </c>
      <c r="H7" s="220">
        <v>0</v>
      </c>
      <c r="I7" s="220">
        <v>0</v>
      </c>
      <c r="J7" s="220">
        <v>0</v>
      </c>
      <c r="K7" s="220">
        <v>0</v>
      </c>
    </row>
    <row r="8" spans="1:11" x14ac:dyDescent="0.25">
      <c r="A8" s="188" t="s">
        <v>444</v>
      </c>
      <c r="B8" s="189"/>
      <c r="C8" s="189"/>
      <c r="D8" s="359">
        <v>0</v>
      </c>
      <c r="E8" s="220">
        <v>0</v>
      </c>
      <c r="F8" s="220">
        <v>0</v>
      </c>
      <c r="G8" s="220">
        <v>0</v>
      </c>
      <c r="H8" s="220">
        <v>0</v>
      </c>
      <c r="I8" s="220">
        <v>0</v>
      </c>
      <c r="J8" s="220">
        <v>0</v>
      </c>
      <c r="K8" s="220">
        <v>0</v>
      </c>
    </row>
    <row r="9" spans="1:11" x14ac:dyDescent="0.25">
      <c r="A9" s="191" t="s">
        <v>445</v>
      </c>
      <c r="B9" s="189"/>
      <c r="C9" s="189"/>
      <c r="D9" s="359">
        <v>0</v>
      </c>
      <c r="E9" s="220">
        <v>0</v>
      </c>
      <c r="F9" s="220">
        <v>0</v>
      </c>
      <c r="G9" s="220">
        <v>0</v>
      </c>
      <c r="H9" s="220">
        <v>0</v>
      </c>
      <c r="I9" s="220">
        <v>0</v>
      </c>
      <c r="J9" s="220">
        <v>0</v>
      </c>
      <c r="K9" s="220">
        <v>0</v>
      </c>
    </row>
    <row r="10" spans="1:11" x14ac:dyDescent="0.25">
      <c r="A10" s="191" t="s">
        <v>446</v>
      </c>
      <c r="B10" s="189"/>
      <c r="C10" s="189"/>
      <c r="D10" s="359">
        <v>0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220">
        <v>0</v>
      </c>
      <c r="K10" s="220">
        <v>0</v>
      </c>
    </row>
    <row r="11" spans="1:11" x14ac:dyDescent="0.25">
      <c r="A11" s="188" t="s">
        <v>333</v>
      </c>
      <c r="B11" s="189"/>
      <c r="C11" s="189"/>
      <c r="D11" s="359">
        <v>0</v>
      </c>
      <c r="E11" s="220">
        <v>0</v>
      </c>
      <c r="F11" s="220">
        <v>0</v>
      </c>
      <c r="G11" s="220">
        <v>0</v>
      </c>
      <c r="H11" s="220">
        <v>0</v>
      </c>
      <c r="I11" s="220">
        <v>0</v>
      </c>
      <c r="J11" s="220">
        <v>0</v>
      </c>
      <c r="K11" s="220">
        <v>0</v>
      </c>
    </row>
    <row r="12" spans="1:11" x14ac:dyDescent="0.25">
      <c r="A12" s="192" t="s">
        <v>334</v>
      </c>
      <c r="B12" s="189"/>
      <c r="C12" s="193"/>
      <c r="D12" s="359">
        <v>7.6039999999999996E-2</v>
      </c>
      <c r="E12" s="220">
        <v>0</v>
      </c>
      <c r="F12" s="220">
        <v>0.15642</v>
      </c>
      <c r="G12" s="220">
        <v>6.3020000000000007E-2</v>
      </c>
      <c r="H12" s="220">
        <v>9.3399999999999997E-2</v>
      </c>
      <c r="I12" s="220">
        <v>0</v>
      </c>
      <c r="J12" s="220">
        <v>0</v>
      </c>
      <c r="K12" s="220">
        <v>0.18679999999999999</v>
      </c>
    </row>
    <row r="13" spans="1:11" x14ac:dyDescent="0.25">
      <c r="A13" s="194" t="s">
        <v>462</v>
      </c>
      <c r="B13" s="189"/>
      <c r="C13" s="189"/>
      <c r="D13" s="359">
        <v>0.88276299999999996</v>
      </c>
      <c r="E13" s="220">
        <v>-0.556145</v>
      </c>
      <c r="F13" s="220">
        <v>5.4229900000000004</v>
      </c>
      <c r="G13" s="220">
        <v>0.61885199999999996</v>
      </c>
      <c r="H13" s="220">
        <v>0.23643500000000001</v>
      </c>
      <c r="I13" s="220">
        <v>-0.29546899999999998</v>
      </c>
      <c r="J13" s="220">
        <v>4.8631719999999996</v>
      </c>
      <c r="K13" s="220">
        <v>6.4664460000000004</v>
      </c>
    </row>
    <row r="14" spans="1:11" s="90" customFormat="1" x14ac:dyDescent="0.25">
      <c r="A14" s="194" t="s">
        <v>335</v>
      </c>
      <c r="B14" s="189"/>
      <c r="C14" s="189"/>
      <c r="D14" s="359"/>
      <c r="E14" s="220"/>
      <c r="F14" s="220"/>
      <c r="G14" s="220">
        <v>0</v>
      </c>
      <c r="H14" s="220">
        <v>0</v>
      </c>
      <c r="I14" s="220">
        <v>0</v>
      </c>
      <c r="J14" s="220">
        <v>0</v>
      </c>
      <c r="K14" s="220">
        <v>0</v>
      </c>
    </row>
    <row r="15" spans="1:11" x14ac:dyDescent="0.25">
      <c r="A15" s="188" t="s">
        <v>494</v>
      </c>
      <c r="B15" s="189"/>
      <c r="C15" s="189"/>
      <c r="D15" s="359">
        <v>0</v>
      </c>
      <c r="E15" s="220">
        <v>0</v>
      </c>
      <c r="F15" s="220">
        <v>0</v>
      </c>
      <c r="G15" s="220"/>
      <c r="H15" s="220"/>
      <c r="I15" s="220"/>
      <c r="J15" s="220"/>
      <c r="K15" s="220"/>
    </row>
    <row r="16" spans="1:11" x14ac:dyDescent="0.25">
      <c r="A16" s="188" t="s">
        <v>336</v>
      </c>
      <c r="B16" s="189"/>
      <c r="C16" s="189"/>
      <c r="D16" s="359">
        <v>-0.329569</v>
      </c>
      <c r="E16" s="220">
        <v>-0.437745</v>
      </c>
      <c r="F16" s="220">
        <v>-0.85977599999999998</v>
      </c>
      <c r="G16" s="220">
        <v>-0.18180299999999999</v>
      </c>
      <c r="H16" s="220">
        <v>-0.29899100000000001</v>
      </c>
      <c r="I16" s="220">
        <v>1.8275E-2</v>
      </c>
      <c r="J16" s="220">
        <v>-0.39725700000000003</v>
      </c>
      <c r="K16" s="220">
        <v>-0.71440599999999999</v>
      </c>
    </row>
    <row r="17" spans="1:12" x14ac:dyDescent="0.25">
      <c r="A17" s="188" t="s">
        <v>447</v>
      </c>
      <c r="B17" s="189"/>
      <c r="C17" s="189"/>
      <c r="D17" s="359">
        <v>-0.11032400000000001</v>
      </c>
      <c r="E17" s="220">
        <v>-8.6958999999999995E-2</v>
      </c>
      <c r="F17" s="220">
        <v>-116.12061199999999</v>
      </c>
      <c r="G17" s="220">
        <v>-61.452964999999999</v>
      </c>
      <c r="H17" s="220">
        <v>-54.575910999999998</v>
      </c>
      <c r="I17" s="220">
        <v>-8.4612000000000007E-2</v>
      </c>
      <c r="J17" s="220">
        <v>-7.1240000000000001E-3</v>
      </c>
      <c r="K17" s="220">
        <v>-4.1061839999999998</v>
      </c>
    </row>
    <row r="18" spans="1:12" x14ac:dyDescent="0.25">
      <c r="A18" s="231" t="s">
        <v>463</v>
      </c>
      <c r="B18" s="232"/>
      <c r="C18" s="232"/>
      <c r="D18" s="360">
        <v>73.912953000000002</v>
      </c>
      <c r="E18" s="230">
        <v>73.912355000000005</v>
      </c>
      <c r="F18" s="230">
        <v>166.97739100000001</v>
      </c>
      <c r="G18" s="230">
        <v>11.865008</v>
      </c>
      <c r="H18" s="230">
        <v>15.83206</v>
      </c>
      <c r="I18" s="230">
        <v>68.669188000000005</v>
      </c>
      <c r="J18" s="230">
        <v>70.611135000000004</v>
      </c>
      <c r="K18" s="230">
        <v>245.51428300000001</v>
      </c>
      <c r="L18" s="90"/>
    </row>
    <row r="19" spans="1:12" x14ac:dyDescent="0.25">
      <c r="A19" s="188" t="s">
        <v>303</v>
      </c>
      <c r="B19" s="197"/>
      <c r="C19" s="197"/>
      <c r="D19" s="359">
        <v>-49.061444999999999</v>
      </c>
      <c r="E19" s="220">
        <v>-50.993662</v>
      </c>
      <c r="F19" s="220">
        <v>-188.40571800000001</v>
      </c>
      <c r="G19" s="220">
        <v>-58.778458999999998</v>
      </c>
      <c r="H19" s="220">
        <v>-42.953237999999999</v>
      </c>
      <c r="I19" s="220">
        <v>-42.305382000000002</v>
      </c>
      <c r="J19" s="220">
        <v>-44.368639000000002</v>
      </c>
      <c r="K19" s="220">
        <v>-153.530867</v>
      </c>
      <c r="L19" s="90"/>
    </row>
    <row r="20" spans="1:12" x14ac:dyDescent="0.25">
      <c r="A20" s="188" t="s">
        <v>304</v>
      </c>
      <c r="B20" s="189"/>
      <c r="C20" s="189"/>
      <c r="D20" s="359">
        <v>38.164797999999998</v>
      </c>
      <c r="E20" s="220">
        <v>42.682153</v>
      </c>
      <c r="F20" s="220">
        <v>214.76490200000001</v>
      </c>
      <c r="G20" s="220">
        <v>52.395991000000002</v>
      </c>
      <c r="H20" s="220">
        <v>25.820564999999998</v>
      </c>
      <c r="I20" s="220">
        <v>86.733581999999998</v>
      </c>
      <c r="J20" s="220">
        <v>49.814763999999997</v>
      </c>
      <c r="K20" s="220">
        <v>43.913336999999999</v>
      </c>
    </row>
    <row r="21" spans="1:12" x14ac:dyDescent="0.25">
      <c r="A21" s="191" t="s">
        <v>530</v>
      </c>
      <c r="B21" s="189"/>
      <c r="C21" s="189"/>
      <c r="D21" s="359"/>
      <c r="E21" s="220"/>
      <c r="F21" s="220">
        <v>214.84453500000001</v>
      </c>
      <c r="G21" s="220">
        <v>52.474961</v>
      </c>
      <c r="H21" s="220">
        <v>25.820540999999999</v>
      </c>
      <c r="I21" s="220">
        <v>86.741005999999999</v>
      </c>
      <c r="J21" s="220">
        <v>49.808027000000003</v>
      </c>
      <c r="K21" s="220">
        <v>44.702629999999999</v>
      </c>
    </row>
    <row r="22" spans="1:12" s="90" customFormat="1" x14ac:dyDescent="0.25">
      <c r="A22" s="191" t="s">
        <v>531</v>
      </c>
      <c r="B22" s="189"/>
      <c r="C22" s="189"/>
      <c r="D22" s="359">
        <v>38.677748000000001</v>
      </c>
      <c r="E22" s="220">
        <v>42.682153</v>
      </c>
      <c r="F22" s="220"/>
      <c r="G22" s="220"/>
      <c r="H22" s="220"/>
      <c r="I22" s="220"/>
      <c r="J22" s="220"/>
      <c r="K22" s="220"/>
    </row>
    <row r="23" spans="1:12" x14ac:dyDescent="0.25">
      <c r="A23" s="191" t="s">
        <v>532</v>
      </c>
      <c r="B23" s="189"/>
      <c r="C23" s="189"/>
      <c r="D23" s="359"/>
      <c r="E23" s="220"/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</row>
    <row r="24" spans="1:12" s="90" customFormat="1" x14ac:dyDescent="0.25">
      <c r="A24" s="191" t="s">
        <v>533</v>
      </c>
      <c r="B24" s="189"/>
      <c r="C24" s="189"/>
      <c r="D24" s="359">
        <v>0</v>
      </c>
      <c r="E24" s="220">
        <v>0</v>
      </c>
      <c r="F24" s="220"/>
      <c r="G24" s="220"/>
      <c r="H24" s="220"/>
      <c r="I24" s="220"/>
      <c r="J24" s="220"/>
      <c r="K24" s="220"/>
    </row>
    <row r="25" spans="1:12" x14ac:dyDescent="0.25">
      <c r="A25" s="191" t="s">
        <v>464</v>
      </c>
      <c r="B25" s="189"/>
      <c r="C25" s="189"/>
      <c r="D25" s="359">
        <v>-0.51295000000000002</v>
      </c>
      <c r="E25" s="220">
        <v>0</v>
      </c>
      <c r="F25" s="220">
        <v>-7.9632999999999995E-2</v>
      </c>
      <c r="G25" s="220">
        <v>-7.8969999999999999E-2</v>
      </c>
      <c r="H25" s="220">
        <v>2.4000000000000001E-5</v>
      </c>
      <c r="I25" s="220">
        <v>-7.424E-3</v>
      </c>
      <c r="J25" s="220">
        <v>6.7369999999999999E-3</v>
      </c>
      <c r="K25" s="220">
        <v>-0.78929300000000002</v>
      </c>
    </row>
    <row r="26" spans="1:12" x14ac:dyDescent="0.25">
      <c r="A26" s="188" t="s">
        <v>355</v>
      </c>
      <c r="B26" s="189"/>
      <c r="C26" s="193"/>
      <c r="D26" s="359">
        <v>0</v>
      </c>
      <c r="E26" s="220">
        <v>0</v>
      </c>
      <c r="F26" s="220">
        <v>0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</row>
    <row r="27" spans="1:12" x14ac:dyDescent="0.25">
      <c r="A27" s="233" t="s">
        <v>465</v>
      </c>
      <c r="B27" s="232"/>
      <c r="C27" s="232"/>
      <c r="D27" s="360">
        <v>63.016306</v>
      </c>
      <c r="E27" s="230">
        <v>65.600846000000004</v>
      </c>
      <c r="F27" s="230">
        <v>193.33657500000001</v>
      </c>
      <c r="G27" s="230">
        <v>5.4825400000000002</v>
      </c>
      <c r="H27" s="230">
        <v>-1.300613</v>
      </c>
      <c r="I27" s="230">
        <v>113.097388</v>
      </c>
      <c r="J27" s="230">
        <v>76.057259999999999</v>
      </c>
      <c r="K27" s="230">
        <v>135.89675299999999</v>
      </c>
    </row>
    <row r="28" spans="1:12" x14ac:dyDescent="0.25">
      <c r="A28" s="233" t="s">
        <v>340</v>
      </c>
      <c r="B28" s="234"/>
      <c r="C28" s="234"/>
      <c r="D28" s="360">
        <v>-7.8767909999999999</v>
      </c>
      <c r="E28" s="230">
        <v>-8.2001430000000006</v>
      </c>
      <c r="F28" s="230">
        <v>-25.991327999999999</v>
      </c>
      <c r="G28" s="230">
        <v>-2.5103550000000001</v>
      </c>
      <c r="H28" s="230">
        <v>0.16323299999999999</v>
      </c>
      <c r="I28" s="230">
        <v>-14.137057</v>
      </c>
      <c r="J28" s="230">
        <v>-9.5071490000000001</v>
      </c>
      <c r="K28" s="230">
        <v>48.549869999999999</v>
      </c>
    </row>
    <row r="29" spans="1:12" x14ac:dyDescent="0.25">
      <c r="A29" s="233" t="s">
        <v>466</v>
      </c>
      <c r="B29" s="232"/>
      <c r="C29" s="232"/>
      <c r="D29" s="360">
        <v>55.139515000000003</v>
      </c>
      <c r="E29" s="230">
        <v>57.400703</v>
      </c>
      <c r="F29" s="230">
        <v>167.345247</v>
      </c>
      <c r="G29" s="230">
        <v>2.9721850000000001</v>
      </c>
      <c r="H29" s="230">
        <v>-1.1373800000000001</v>
      </c>
      <c r="I29" s="230">
        <v>98.960330999999996</v>
      </c>
      <c r="J29" s="230">
        <v>66.550111000000001</v>
      </c>
      <c r="K29" s="230">
        <v>184.44662299999999</v>
      </c>
    </row>
    <row r="30" spans="1:12" x14ac:dyDescent="0.25">
      <c r="A30" s="191" t="s">
        <v>467</v>
      </c>
      <c r="B30" s="189"/>
      <c r="C30" s="189"/>
      <c r="D30" s="359">
        <v>0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</row>
    <row r="31" spans="1:12" x14ac:dyDescent="0.25">
      <c r="A31" s="235" t="s">
        <v>346</v>
      </c>
      <c r="B31" s="236"/>
      <c r="C31" s="236"/>
      <c r="D31" s="362">
        <v>55.139515000000003</v>
      </c>
      <c r="E31" s="242">
        <v>57.400703</v>
      </c>
      <c r="F31" s="220">
        <v>167.345247</v>
      </c>
      <c r="G31" s="220">
        <v>2.9721850000000001</v>
      </c>
      <c r="H31" s="220">
        <v>-1.1373800000000001</v>
      </c>
      <c r="I31" s="220">
        <v>98.960330999999996</v>
      </c>
      <c r="J31" s="220">
        <v>66.550111000000001</v>
      </c>
      <c r="K31" s="220">
        <v>184.44662299999999</v>
      </c>
    </row>
    <row r="32" spans="1:12" x14ac:dyDescent="0.25">
      <c r="A32" s="237" t="s">
        <v>325</v>
      </c>
      <c r="B32" s="238"/>
      <c r="C32" s="239"/>
      <c r="D32" s="359">
        <v>55.139515000000003</v>
      </c>
      <c r="E32" s="220">
        <v>57.400703</v>
      </c>
      <c r="F32" s="240">
        <v>167.345247</v>
      </c>
      <c r="G32" s="240">
        <v>2.9721850000000001</v>
      </c>
      <c r="H32" s="240">
        <v>-1.1373800000000001</v>
      </c>
      <c r="I32" s="240">
        <v>98.960330999999996</v>
      </c>
      <c r="J32" s="240">
        <v>66.550111000000001</v>
      </c>
      <c r="K32" s="240">
        <v>184.44662299999999</v>
      </c>
    </row>
    <row r="33" spans="1:11" ht="21" x14ac:dyDescent="0.25">
      <c r="A33" s="241" t="s">
        <v>326</v>
      </c>
      <c r="B33" s="146"/>
      <c r="C33" s="146"/>
      <c r="D33" s="359">
        <v>0</v>
      </c>
      <c r="E33" s="220"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</row>
    <row r="34" spans="1:11" ht="21" x14ac:dyDescent="0.25">
      <c r="A34" s="244" t="s">
        <v>468</v>
      </c>
      <c r="B34" s="245"/>
      <c r="C34" s="246"/>
      <c r="D34" s="361"/>
      <c r="E34" s="240"/>
      <c r="F34" s="240"/>
      <c r="G34" s="240"/>
      <c r="H34" s="240"/>
      <c r="I34" s="240"/>
      <c r="J34" s="240"/>
      <c r="K34" s="240"/>
    </row>
    <row r="35" spans="1:11" ht="15.6" x14ac:dyDescent="0.25">
      <c r="A35" s="191" t="s">
        <v>477</v>
      </c>
      <c r="B35" s="132"/>
      <c r="C35" s="243"/>
      <c r="D35" s="359">
        <v>10592.316129000001</v>
      </c>
      <c r="E35" s="220">
        <v>10594.612133000001</v>
      </c>
      <c r="F35" s="220">
        <v>10694.282485</v>
      </c>
      <c r="G35" s="220">
        <v>10694.282485</v>
      </c>
      <c r="H35" s="220">
        <v>10668.712108</v>
      </c>
      <c r="I35" s="220">
        <v>10647.707331</v>
      </c>
      <c r="J35" s="220">
        <v>10618.075371000001</v>
      </c>
      <c r="K35" s="220">
        <v>10764.654216000001</v>
      </c>
    </row>
    <row r="36" spans="1:11" ht="15.6" x14ac:dyDescent="0.3">
      <c r="A36" s="191" t="s">
        <v>478</v>
      </c>
      <c r="B36" s="105"/>
      <c r="C36" s="243"/>
      <c r="D36" s="359">
        <v>9910.3737899999996</v>
      </c>
      <c r="E36" s="220">
        <v>9882.5436119999995</v>
      </c>
      <c r="F36" s="220">
        <v>9905.0107759999992</v>
      </c>
      <c r="G36" s="220">
        <v>9905.0107759999992</v>
      </c>
      <c r="H36" s="220">
        <v>9796.8371499999994</v>
      </c>
      <c r="I36" s="220">
        <v>9739.8399520000003</v>
      </c>
      <c r="J36" s="220">
        <v>9656.8557089999995</v>
      </c>
      <c r="K36" s="220">
        <v>9699.9304690000008</v>
      </c>
    </row>
    <row r="37" spans="1:11" ht="15.6" x14ac:dyDescent="0.3">
      <c r="A37" s="248" t="s">
        <v>479</v>
      </c>
      <c r="B37" s="147"/>
      <c r="C37" s="249"/>
      <c r="D37" s="362">
        <v>5539.8021209999997</v>
      </c>
      <c r="E37" s="242">
        <v>5635.573453</v>
      </c>
      <c r="F37" s="242">
        <v>5392.1592270000001</v>
      </c>
      <c r="G37" s="242">
        <v>5392.1592270000001</v>
      </c>
      <c r="H37" s="242">
        <v>5364.3363360000003</v>
      </c>
      <c r="I37" s="242">
        <v>5385.1738379999997</v>
      </c>
      <c r="J37" s="242">
        <v>5229.142229</v>
      </c>
      <c r="K37" s="242">
        <v>4998.7592839999998</v>
      </c>
    </row>
    <row r="38" spans="1:11" ht="15.6" x14ac:dyDescent="0.3">
      <c r="A38" s="205" t="s">
        <v>472</v>
      </c>
      <c r="B38" s="97"/>
      <c r="C38" s="206"/>
      <c r="D38" s="359"/>
      <c r="E38" s="220"/>
      <c r="F38" s="220"/>
      <c r="G38" s="220"/>
      <c r="H38" s="220"/>
      <c r="I38" s="220"/>
      <c r="J38" s="220"/>
      <c r="K38" s="220"/>
    </row>
    <row r="39" spans="1:11" ht="15.6" x14ac:dyDescent="0.3">
      <c r="A39" s="191" t="s">
        <v>480</v>
      </c>
      <c r="B39" s="213"/>
      <c r="C39" s="214"/>
      <c r="D39" s="359">
        <v>5491.316675</v>
      </c>
      <c r="E39" s="220">
        <v>5496.4099550000001</v>
      </c>
      <c r="F39" s="220">
        <v>6144.0668020000003</v>
      </c>
      <c r="G39" s="220">
        <v>6144.0668020000003</v>
      </c>
      <c r="H39" s="220">
        <v>6524.5881390000004</v>
      </c>
      <c r="I39" s="220">
        <v>6651.72307</v>
      </c>
      <c r="J39" s="220">
        <v>6544.1713550000004</v>
      </c>
      <c r="K39" s="220">
        <v>6477.0062019999996</v>
      </c>
    </row>
    <row r="40" spans="1:11" ht="15.6" x14ac:dyDescent="0.3">
      <c r="A40" s="191" t="s">
        <v>327</v>
      </c>
      <c r="B40" s="105"/>
      <c r="C40" s="206"/>
      <c r="D40" s="359">
        <v>582.07956754999998</v>
      </c>
      <c r="E40" s="220">
        <v>582.61945522999997</v>
      </c>
      <c r="F40" s="220">
        <v>638.98294740799997</v>
      </c>
      <c r="G40" s="220">
        <v>638.98294740799997</v>
      </c>
      <c r="H40" s="220">
        <v>678.557166456</v>
      </c>
      <c r="I40" s="220">
        <v>691.77919927999994</v>
      </c>
      <c r="J40" s="220">
        <v>680.59382091999998</v>
      </c>
      <c r="K40" s="220">
        <v>663.89313570500008</v>
      </c>
    </row>
    <row r="41" spans="1:11" ht="15.6" x14ac:dyDescent="0.3">
      <c r="A41" s="191" t="s">
        <v>342</v>
      </c>
      <c r="B41" s="105"/>
      <c r="C41" s="206"/>
      <c r="D41" s="372">
        <v>0.36436400000000002</v>
      </c>
      <c r="E41" s="215">
        <v>0.37216100000000002</v>
      </c>
      <c r="F41" s="215">
        <v>0.24568599999999999</v>
      </c>
      <c r="G41" s="215">
        <v>1.7454000000000001E-2</v>
      </c>
      <c r="H41" s="215">
        <v>-6.6140000000000001E-3</v>
      </c>
      <c r="I41" s="215">
        <v>0.572017</v>
      </c>
      <c r="J41" s="215">
        <v>0.376888</v>
      </c>
      <c r="K41" s="215">
        <v>0.225438</v>
      </c>
    </row>
    <row r="42" spans="1:11" ht="15.6" x14ac:dyDescent="0.3">
      <c r="A42" s="248" t="s">
        <v>343</v>
      </c>
      <c r="B42" s="147"/>
      <c r="C42" s="249"/>
      <c r="D42" s="424">
        <v>0.66377299999999995</v>
      </c>
      <c r="E42" s="256">
        <v>0.68992100000000001</v>
      </c>
      <c r="F42" s="252">
        <v>1.128331</v>
      </c>
      <c r="G42" s="256">
        <v>4.9539330000000001</v>
      </c>
      <c r="H42" s="256">
        <v>2.7130540000000001</v>
      </c>
      <c r="I42" s="256">
        <v>0.61607500000000004</v>
      </c>
      <c r="J42" s="256">
        <v>0.62835200000000002</v>
      </c>
      <c r="K42" s="252">
        <v>0.62534400000000001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3"/>
  <sheetViews>
    <sheetView showGridLines="0" workbookViewId="0">
      <pane xSplit="3" ySplit="2" topLeftCell="D35" activePane="bottomRight" state="frozen"/>
      <selection pane="topRight" activeCell="D1" sqref="D1"/>
      <selection pane="bottomLeft" activeCell="A3" sqref="A3"/>
      <selection pane="bottomRight" activeCell="G58" sqref="G58"/>
    </sheetView>
  </sheetViews>
  <sheetFormatPr defaultRowHeight="13.2" x14ac:dyDescent="0.25"/>
  <cols>
    <col min="3" max="3" width="53.33203125" customWidth="1"/>
    <col min="4" max="5" width="10.77734375" style="271" customWidth="1"/>
    <col min="6" max="6" width="10.77734375" style="271" hidden="1" customWidth="1"/>
    <col min="7" max="7" width="10.77734375" style="271" customWidth="1"/>
    <col min="8" max="10" width="10.77734375" customWidth="1"/>
    <col min="11" max="11" width="10.77734375" style="90" customWidth="1"/>
    <col min="12" max="12" width="9.109375" bestFit="1" customWidth="1"/>
    <col min="14" max="14" width="41.33203125" customWidth="1"/>
    <col min="15" max="21" width="10.77734375" customWidth="1"/>
  </cols>
  <sheetData>
    <row r="1" spans="1:12" ht="15.6" x14ac:dyDescent="0.25">
      <c r="A1" s="179" t="s">
        <v>484</v>
      </c>
      <c r="B1" s="257"/>
      <c r="C1" s="206"/>
      <c r="D1" s="420" t="s">
        <v>492</v>
      </c>
      <c r="E1" s="373" t="s">
        <v>492</v>
      </c>
      <c r="F1" s="182" t="s">
        <v>493</v>
      </c>
      <c r="G1" s="182" t="s">
        <v>493</v>
      </c>
      <c r="H1" s="182" t="s">
        <v>493</v>
      </c>
      <c r="I1" s="182" t="s">
        <v>493</v>
      </c>
      <c r="J1" s="182" t="s">
        <v>493</v>
      </c>
      <c r="K1" s="182" t="s">
        <v>493</v>
      </c>
    </row>
    <row r="2" spans="1:12" ht="15.6" x14ac:dyDescent="0.3">
      <c r="A2" s="259" t="s">
        <v>461</v>
      </c>
      <c r="B2" s="105"/>
      <c r="C2" s="243"/>
      <c r="D2" s="425" t="s">
        <v>534</v>
      </c>
      <c r="E2" s="275" t="s">
        <v>491</v>
      </c>
      <c r="F2" s="276" t="s">
        <v>496</v>
      </c>
      <c r="G2" s="275" t="s">
        <v>476</v>
      </c>
      <c r="H2" s="261" t="s">
        <v>454</v>
      </c>
      <c r="I2" s="261" t="s">
        <v>449</v>
      </c>
      <c r="J2" s="261" t="s">
        <v>440</v>
      </c>
      <c r="K2" s="260" t="s">
        <v>495</v>
      </c>
    </row>
    <row r="3" spans="1:12" ht="15.6" x14ac:dyDescent="0.3">
      <c r="A3" s="262" t="s">
        <v>485</v>
      </c>
      <c r="B3" s="263"/>
      <c r="C3" s="246"/>
      <c r="D3" s="361">
        <v>-14.5048310308</v>
      </c>
      <c r="E3" s="240">
        <v>-17.234170755800001</v>
      </c>
      <c r="F3" s="240">
        <v>-11.307938909700001</v>
      </c>
      <c r="G3" s="240">
        <v>-25.169911273099999</v>
      </c>
      <c r="H3" s="240">
        <v>-19.638343801600001</v>
      </c>
      <c r="I3" s="240">
        <v>-13.633281178799999</v>
      </c>
      <c r="J3" s="240">
        <v>-14.473781948899999</v>
      </c>
      <c r="K3" s="240">
        <v>-27.035489454999997</v>
      </c>
    </row>
    <row r="4" spans="1:12" ht="15.6" x14ac:dyDescent="0.3">
      <c r="A4" s="258" t="s">
        <v>486</v>
      </c>
      <c r="B4" s="105"/>
      <c r="C4" s="206"/>
      <c r="D4" s="359">
        <v>7.6422317807999995</v>
      </c>
      <c r="E4" s="220">
        <v>-3.9332066896</v>
      </c>
      <c r="F4" s="220">
        <v>-2.7286100060999998</v>
      </c>
      <c r="G4" s="220">
        <v>-5.0562264078999997</v>
      </c>
      <c r="H4" s="220">
        <v>4.5336875853</v>
      </c>
      <c r="I4" s="220">
        <v>16.594086560200001</v>
      </c>
      <c r="J4" s="220">
        <v>-17.7881827603</v>
      </c>
      <c r="K4" s="220">
        <v>2.9779487332000003</v>
      </c>
    </row>
    <row r="5" spans="1:12" ht="15.6" x14ac:dyDescent="0.3">
      <c r="A5" s="258" t="s">
        <v>487</v>
      </c>
      <c r="B5" s="105"/>
      <c r="C5" s="206"/>
      <c r="D5" s="359">
        <v>2.7041439999999999</v>
      </c>
      <c r="E5" s="220">
        <v>0.57150500000000004</v>
      </c>
      <c r="F5" s="220">
        <v>23.965391</v>
      </c>
      <c r="G5" s="220">
        <v>18.027322000000002</v>
      </c>
      <c r="H5" s="220">
        <v>-12.668752</v>
      </c>
      <c r="I5" s="220">
        <v>-12.580658</v>
      </c>
      <c r="J5" s="220">
        <v>-8.7950160000000004</v>
      </c>
      <c r="K5" s="220">
        <v>-2.5942020000000001</v>
      </c>
    </row>
    <row r="6" spans="1:12" ht="15.6" x14ac:dyDescent="0.3">
      <c r="A6" s="258" t="s">
        <v>488</v>
      </c>
      <c r="B6" s="105"/>
      <c r="C6" s="206"/>
      <c r="D6" s="359">
        <v>10.040565000000001</v>
      </c>
      <c r="E6" s="220">
        <v>22.522663000000001</v>
      </c>
      <c r="F6" s="220">
        <v>91.060079000000002</v>
      </c>
      <c r="G6" s="220">
        <v>-22.006482999999999</v>
      </c>
      <c r="H6" s="220">
        <v>18.895339</v>
      </c>
      <c r="I6" s="220">
        <v>11.3241</v>
      </c>
      <c r="J6" s="220">
        <v>82.847122999999996</v>
      </c>
      <c r="K6" s="220">
        <v>32.937697999999997</v>
      </c>
    </row>
    <row r="7" spans="1:12" ht="15.6" x14ac:dyDescent="0.3">
      <c r="A7" s="258" t="s">
        <v>301</v>
      </c>
      <c r="B7" s="105"/>
      <c r="C7" s="243"/>
      <c r="D7" s="359">
        <v>-58.856595749999997</v>
      </c>
      <c r="E7" s="220">
        <v>3.4793584453999999</v>
      </c>
      <c r="F7" s="220">
        <v>-134.29690108419999</v>
      </c>
      <c r="G7" s="220">
        <v>-144.31346731900001</v>
      </c>
      <c r="H7" s="220">
        <v>-3.4948867837000006</v>
      </c>
      <c r="I7" s="220">
        <v>10.080772618599999</v>
      </c>
      <c r="J7" s="220">
        <v>-9.0310252907999988</v>
      </c>
      <c r="K7" s="220">
        <v>16.8103997218</v>
      </c>
    </row>
    <row r="8" spans="1:12" ht="15.6" x14ac:dyDescent="0.3">
      <c r="A8" s="231" t="s">
        <v>489</v>
      </c>
      <c r="B8" s="264"/>
      <c r="C8" s="265"/>
      <c r="D8" s="360">
        <v>-52.974485999999999</v>
      </c>
      <c r="E8" s="230">
        <v>5.4061490000000001</v>
      </c>
      <c r="F8" s="230">
        <v>-33.307980000000001</v>
      </c>
      <c r="G8" s="230">
        <v>-178.518766</v>
      </c>
      <c r="H8" s="230">
        <v>-12.372956000000004</v>
      </c>
      <c r="I8" s="230">
        <v>11.785019999999999</v>
      </c>
      <c r="J8" s="230">
        <v>32.75911700000001</v>
      </c>
      <c r="K8" s="230">
        <v>23.096354999999999</v>
      </c>
    </row>
    <row r="9" spans="1:12" x14ac:dyDescent="0.25">
      <c r="D9" s="90"/>
      <c r="E9" s="220"/>
    </row>
    <row r="11" spans="1:12" ht="17.399999999999999" x14ac:dyDescent="0.3">
      <c r="A11" s="179" t="s">
        <v>372</v>
      </c>
      <c r="B11" s="250"/>
      <c r="C11" s="202"/>
      <c r="D11" s="202"/>
      <c r="E11" s="202"/>
      <c r="F11" s="202"/>
      <c r="G11" s="202"/>
      <c r="H11" s="188"/>
      <c r="I11" s="188"/>
      <c r="J11" s="188"/>
      <c r="K11" s="188"/>
    </row>
    <row r="12" spans="1:12" ht="21" customHeight="1" x14ac:dyDescent="0.25">
      <c r="A12" s="205" t="s">
        <v>483</v>
      </c>
      <c r="B12" s="180"/>
      <c r="C12" s="181"/>
      <c r="D12" s="420" t="s">
        <v>492</v>
      </c>
      <c r="E12" s="373" t="s">
        <v>492</v>
      </c>
      <c r="F12" s="182" t="s">
        <v>493</v>
      </c>
      <c r="G12" s="182" t="s">
        <v>493</v>
      </c>
      <c r="H12" s="182" t="s">
        <v>493</v>
      </c>
      <c r="I12" s="182" t="s">
        <v>493</v>
      </c>
      <c r="J12" s="182" t="s">
        <v>493</v>
      </c>
      <c r="K12" s="182" t="s">
        <v>493</v>
      </c>
    </row>
    <row r="13" spans="1:12" x14ac:dyDescent="0.25">
      <c r="A13" s="184" t="s">
        <v>461</v>
      </c>
      <c r="B13" s="185"/>
      <c r="C13" s="185"/>
      <c r="D13" s="426" t="s">
        <v>534</v>
      </c>
      <c r="E13" s="278" t="s">
        <v>491</v>
      </c>
      <c r="F13" s="277" t="s">
        <v>496</v>
      </c>
      <c r="G13" s="278" t="s">
        <v>476</v>
      </c>
      <c r="H13" s="279" t="s">
        <v>454</v>
      </c>
      <c r="I13" s="279" t="s">
        <v>449</v>
      </c>
      <c r="J13" s="279" t="s">
        <v>440</v>
      </c>
      <c r="K13" s="280" t="s">
        <v>495</v>
      </c>
    </row>
    <row r="14" spans="1:12" x14ac:dyDescent="0.25">
      <c r="A14" s="188" t="s">
        <v>328</v>
      </c>
      <c r="B14" s="189"/>
      <c r="C14" s="189"/>
      <c r="D14" s="359">
        <v>10.637304</v>
      </c>
      <c r="E14" s="220">
        <v>2.3065669999999998</v>
      </c>
      <c r="F14" s="220">
        <v>1.3863239999999999</v>
      </c>
      <c r="G14" s="220">
        <v>-2.0095969999999999</v>
      </c>
      <c r="H14" s="220">
        <v>6.6724040000000002</v>
      </c>
      <c r="I14" s="220">
        <v>2.0647160000000002</v>
      </c>
      <c r="J14" s="220">
        <v>-5.3411989999999996</v>
      </c>
      <c r="K14" s="220">
        <v>-31.603071</v>
      </c>
      <c r="L14" s="220"/>
    </row>
    <row r="15" spans="1:12" x14ac:dyDescent="0.25">
      <c r="A15" s="190" t="s">
        <v>441</v>
      </c>
      <c r="B15" s="189"/>
      <c r="C15" s="189"/>
      <c r="D15" s="359">
        <v>3.5317400000000001</v>
      </c>
      <c r="E15" s="220">
        <v>5.3988940000000003</v>
      </c>
      <c r="F15" s="220">
        <v>10.721317000000001</v>
      </c>
      <c r="G15" s="220">
        <v>4.1612780000000003</v>
      </c>
      <c r="H15" s="220">
        <v>2.6526580000000002</v>
      </c>
      <c r="I15" s="220">
        <v>2.6423930000000002</v>
      </c>
      <c r="J15" s="220">
        <v>1.264988</v>
      </c>
      <c r="K15" s="220">
        <v>17.904616000000001</v>
      </c>
    </row>
    <row r="16" spans="1:12" x14ac:dyDescent="0.25">
      <c r="A16" s="191" t="s">
        <v>442</v>
      </c>
      <c r="B16" s="189"/>
      <c r="C16" s="189"/>
      <c r="D16" s="359">
        <v>3.306216</v>
      </c>
      <c r="E16" s="220">
        <v>3.2446090000000001</v>
      </c>
      <c r="F16" s="220">
        <v>7.9551179999999997</v>
      </c>
      <c r="G16" s="220">
        <v>1.844938</v>
      </c>
      <c r="H16" s="220">
        <v>2.449576</v>
      </c>
      <c r="I16" s="220">
        <v>1.6447320000000001</v>
      </c>
      <c r="J16" s="220">
        <v>2.0158719999999999</v>
      </c>
      <c r="K16" s="220">
        <v>9.7270889999999994</v>
      </c>
    </row>
    <row r="17" spans="1:12" x14ac:dyDescent="0.25">
      <c r="A17" s="191" t="s">
        <v>443</v>
      </c>
      <c r="B17" s="189"/>
      <c r="C17" s="189"/>
      <c r="D17" s="359">
        <v>0.225524</v>
      </c>
      <c r="E17" s="220">
        <v>2.1542849999999998</v>
      </c>
      <c r="F17" s="220">
        <v>2.7661989999999999</v>
      </c>
      <c r="G17" s="220">
        <v>2.3163399999999998</v>
      </c>
      <c r="H17" s="220">
        <v>0.20308200000000001</v>
      </c>
      <c r="I17" s="220">
        <v>0.99766100000000002</v>
      </c>
      <c r="J17" s="220">
        <v>-0.750884</v>
      </c>
      <c r="K17" s="220">
        <v>8.1775269999999995</v>
      </c>
    </row>
    <row r="18" spans="1:12" x14ac:dyDescent="0.25">
      <c r="A18" s="188" t="s">
        <v>444</v>
      </c>
      <c r="B18" s="189"/>
      <c r="C18" s="189"/>
      <c r="D18" s="359">
        <v>-0.45924900000000002</v>
      </c>
      <c r="E18" s="220">
        <v>0.20907400000000001</v>
      </c>
      <c r="F18" s="220">
        <v>4.0835049999999997</v>
      </c>
      <c r="G18" s="220">
        <v>0</v>
      </c>
      <c r="H18" s="220">
        <v>0.34633799999999998</v>
      </c>
      <c r="I18" s="220">
        <v>2.4711780000000001</v>
      </c>
      <c r="J18" s="220">
        <v>-1.583108</v>
      </c>
      <c r="K18" s="220">
        <v>8.1364879999999999</v>
      </c>
    </row>
    <row r="19" spans="1:12" x14ac:dyDescent="0.25">
      <c r="A19" s="191" t="s">
        <v>445</v>
      </c>
      <c r="B19" s="189"/>
      <c r="C19" s="189"/>
      <c r="D19" s="359">
        <v>-0.60061100000000001</v>
      </c>
      <c r="E19" s="220">
        <v>-8.0693000000000001E-2</v>
      </c>
      <c r="F19" s="220">
        <v>-0.33590900000000001</v>
      </c>
      <c r="G19" s="220">
        <v>-5.3712999999999997E-2</v>
      </c>
      <c r="H19" s="220">
        <v>-0.102904</v>
      </c>
      <c r="I19" s="220">
        <v>-8.8307999999999998E-2</v>
      </c>
      <c r="J19" s="220">
        <v>-9.0983999999999995E-2</v>
      </c>
      <c r="K19" s="220">
        <v>-0.25221199999999999</v>
      </c>
    </row>
    <row r="20" spans="1:12" x14ac:dyDescent="0.25">
      <c r="A20" s="191" t="s">
        <v>446</v>
      </c>
      <c r="B20" s="189"/>
      <c r="C20" s="189"/>
      <c r="D20" s="359">
        <v>0.14136199999999999</v>
      </c>
      <c r="E20" s="220">
        <v>0.289767</v>
      </c>
      <c r="F20" s="220">
        <v>1.3173060000000001</v>
      </c>
      <c r="G20" s="220">
        <v>0.53275700000000004</v>
      </c>
      <c r="H20" s="220">
        <v>0.14325599999999999</v>
      </c>
      <c r="I20" s="220">
        <v>1.473517</v>
      </c>
      <c r="J20" s="220">
        <v>-0.83222399999999996</v>
      </c>
      <c r="K20" s="220">
        <v>-4.1038999999999999E-2</v>
      </c>
    </row>
    <row r="21" spans="1:12" x14ac:dyDescent="0.25">
      <c r="A21" s="188" t="s">
        <v>333</v>
      </c>
      <c r="B21" s="189"/>
      <c r="C21" s="189"/>
      <c r="D21" s="359">
        <v>0.68387399999999998</v>
      </c>
      <c r="E21" s="220">
        <v>9.8588999999999996E-2</v>
      </c>
      <c r="F21" s="220">
        <v>1.2965880000000001</v>
      </c>
      <c r="G21" s="220">
        <v>-0.52708699999999997</v>
      </c>
      <c r="H21" s="220">
        <v>0.69929799999999998</v>
      </c>
      <c r="I21" s="220">
        <v>0.263098</v>
      </c>
      <c r="J21" s="220">
        <v>0.86127900000000002</v>
      </c>
      <c r="K21" s="220">
        <v>-16.911950999999998</v>
      </c>
    </row>
    <row r="22" spans="1:12" x14ac:dyDescent="0.25">
      <c r="A22" s="192" t="s">
        <v>334</v>
      </c>
      <c r="B22" s="189"/>
      <c r="C22" s="193"/>
      <c r="D22" s="359">
        <v>3.8783789999999998</v>
      </c>
      <c r="E22" s="220">
        <v>0.63617100000000004</v>
      </c>
      <c r="F22" s="220">
        <v>9.6231010000000001</v>
      </c>
      <c r="G22" s="220">
        <v>1.055606</v>
      </c>
      <c r="H22" s="220">
        <v>0.696793</v>
      </c>
      <c r="I22" s="220">
        <v>5.5190250000000001</v>
      </c>
      <c r="J22" s="220">
        <v>2.351677</v>
      </c>
      <c r="K22" s="220">
        <v>15.1737</v>
      </c>
    </row>
    <row r="23" spans="1:12" x14ac:dyDescent="0.25">
      <c r="A23" s="194" t="s">
        <v>462</v>
      </c>
      <c r="B23" s="189"/>
      <c r="C23" s="189"/>
      <c r="D23" s="359">
        <v>-31.472750999999999</v>
      </c>
      <c r="E23" s="220">
        <v>4.0385520000000001</v>
      </c>
      <c r="F23" s="220">
        <v>-0.715472</v>
      </c>
      <c r="G23" s="220">
        <v>7.9489169999999998</v>
      </c>
      <c r="H23" s="220">
        <v>-1.714669</v>
      </c>
      <c r="I23" s="220">
        <v>36.767524999999999</v>
      </c>
      <c r="J23" s="220">
        <v>-43.717244999999998</v>
      </c>
      <c r="K23" s="220">
        <v>5.6725250000000003</v>
      </c>
    </row>
    <row r="24" spans="1:12" s="90" customFormat="1" x14ac:dyDescent="0.25">
      <c r="A24" s="194" t="s">
        <v>335</v>
      </c>
      <c r="B24" s="189"/>
      <c r="C24" s="189"/>
      <c r="D24" s="359"/>
      <c r="E24" s="220"/>
      <c r="F24" s="220"/>
      <c r="G24" s="220">
        <v>16.440103000000001</v>
      </c>
      <c r="H24" s="220">
        <v>16.450634000000001</v>
      </c>
      <c r="I24" s="220">
        <v>13.735585</v>
      </c>
      <c r="J24" s="220">
        <v>9.2077740000000006</v>
      </c>
      <c r="K24" s="220">
        <v>12.713770999999999</v>
      </c>
    </row>
    <row r="25" spans="1:12" x14ac:dyDescent="0.25">
      <c r="A25" s="188" t="s">
        <v>494</v>
      </c>
      <c r="B25" s="189"/>
      <c r="C25" s="189"/>
      <c r="D25" s="359">
        <v>8.0450029999999995</v>
      </c>
      <c r="E25" s="220">
        <v>3.3225999999999999E-2</v>
      </c>
      <c r="F25" s="220">
        <v>55.834096000000002</v>
      </c>
    </row>
    <row r="26" spans="1:12" x14ac:dyDescent="0.25">
      <c r="A26" s="188" t="s">
        <v>336</v>
      </c>
      <c r="B26" s="189"/>
      <c r="C26" s="189"/>
      <c r="D26" s="359">
        <v>-0.55072200000000004</v>
      </c>
      <c r="E26" s="220">
        <v>-2.2841330000000002</v>
      </c>
      <c r="F26" s="220">
        <v>-6.3489079999999998</v>
      </c>
      <c r="G26" s="220">
        <v>-1.4869239999999999</v>
      </c>
      <c r="H26" s="220">
        <v>-0.80896199999999996</v>
      </c>
      <c r="I26" s="220">
        <v>-1.3205899999999999</v>
      </c>
      <c r="J26" s="220">
        <v>-2.7324320000000002</v>
      </c>
      <c r="K26" s="220">
        <v>-10.699463</v>
      </c>
    </row>
    <row r="27" spans="1:12" x14ac:dyDescent="0.25">
      <c r="A27" s="188" t="s">
        <v>447</v>
      </c>
      <c r="B27" s="189"/>
      <c r="C27" s="189"/>
      <c r="D27" s="359">
        <v>-37.371707999999998</v>
      </c>
      <c r="E27" s="220">
        <v>0.649204</v>
      </c>
      <c r="F27" s="220">
        <v>11.364946</v>
      </c>
      <c r="G27" s="220">
        <v>3.1795089999999999</v>
      </c>
      <c r="H27" s="220">
        <v>5.3913679999999999</v>
      </c>
      <c r="I27" s="220">
        <v>1.614098</v>
      </c>
      <c r="J27" s="220">
        <v>1.1799710000000001</v>
      </c>
      <c r="K27" s="220">
        <v>33.229624000000001</v>
      </c>
    </row>
    <row r="28" spans="1:12" x14ac:dyDescent="0.25">
      <c r="A28" s="231" t="s">
        <v>463</v>
      </c>
      <c r="B28" s="232"/>
      <c r="C28" s="232"/>
      <c r="D28" s="360">
        <v>-43.078130000000002</v>
      </c>
      <c r="E28" s="230">
        <v>11.086144000000001</v>
      </c>
      <c r="F28" s="230">
        <v>84.143388999999999</v>
      </c>
      <c r="G28" s="230">
        <v>29.240849000000001</v>
      </c>
      <c r="H28" s="230">
        <v>30.079875999999999</v>
      </c>
      <c r="I28" s="230">
        <v>62.671059</v>
      </c>
      <c r="J28" s="230">
        <v>-37.848394999999996</v>
      </c>
      <c r="K28" s="230">
        <v>25.186499999999999</v>
      </c>
      <c r="L28" s="220"/>
    </row>
    <row r="29" spans="1:12" x14ac:dyDescent="0.25">
      <c r="A29" s="188" t="s">
        <v>303</v>
      </c>
      <c r="B29" s="197"/>
      <c r="C29" s="197"/>
      <c r="D29" s="359">
        <v>-22.601579999999998</v>
      </c>
      <c r="E29" s="220">
        <v>-27.045026</v>
      </c>
      <c r="F29" s="220">
        <v>-139.522266</v>
      </c>
      <c r="G29" s="220">
        <v>-42.677805999999997</v>
      </c>
      <c r="H29" s="220">
        <v>-35.176893</v>
      </c>
      <c r="I29" s="220">
        <v>-32.807012999999998</v>
      </c>
      <c r="J29" s="220">
        <v>-28.860554</v>
      </c>
      <c r="K29" s="220">
        <v>-157.699128</v>
      </c>
    </row>
    <row r="30" spans="1:12" x14ac:dyDescent="0.25">
      <c r="A30" s="188" t="s">
        <v>304</v>
      </c>
      <c r="B30" s="189"/>
      <c r="C30" s="189"/>
      <c r="D30" s="359">
        <v>4.3989089999999997</v>
      </c>
      <c r="E30" s="220">
        <v>15.678739999999999</v>
      </c>
      <c r="F30" s="220">
        <v>-19.865359000000002</v>
      </c>
      <c r="G30" s="220">
        <v>-6.4482429999999997</v>
      </c>
      <c r="H30" s="220">
        <v>-5.9989879999999998</v>
      </c>
      <c r="I30" s="220">
        <v>-11.373948</v>
      </c>
      <c r="J30" s="220">
        <v>3.9558200000000001</v>
      </c>
      <c r="K30" s="220">
        <v>-32.002485</v>
      </c>
    </row>
    <row r="31" spans="1:12" x14ac:dyDescent="0.25">
      <c r="A31" s="191" t="s">
        <v>530</v>
      </c>
      <c r="B31" s="189"/>
      <c r="C31" s="189"/>
      <c r="D31" s="359"/>
      <c r="E31" s="220"/>
      <c r="F31" s="220">
        <v>-17.661149000000002</v>
      </c>
      <c r="G31" s="220">
        <v>-4.2479829999999996</v>
      </c>
      <c r="H31" s="220">
        <v>-5.9986940000000004</v>
      </c>
      <c r="I31" s="220">
        <v>-11.372992</v>
      </c>
      <c r="J31" s="220">
        <v>3.95852</v>
      </c>
      <c r="K31" s="220">
        <v>-31.763010999999999</v>
      </c>
    </row>
    <row r="32" spans="1:12" s="90" customFormat="1" x14ac:dyDescent="0.25">
      <c r="A32" s="191" t="s">
        <v>531</v>
      </c>
      <c r="B32" s="189"/>
      <c r="C32" s="189"/>
      <c r="D32" s="359">
        <v>3.1118969999999999</v>
      </c>
      <c r="E32" s="220">
        <v>16.538723000000001</v>
      </c>
      <c r="F32" s="220"/>
      <c r="G32" s="220"/>
      <c r="H32" s="220"/>
      <c r="I32" s="220"/>
      <c r="J32" s="220"/>
      <c r="K32" s="220"/>
    </row>
    <row r="33" spans="1:11" x14ac:dyDescent="0.25">
      <c r="A33" s="191" t="s">
        <v>532</v>
      </c>
      <c r="B33" s="189"/>
      <c r="C33" s="189"/>
      <c r="D33" s="359"/>
      <c r="E33" s="220"/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-1.1254999999999999E-2</v>
      </c>
    </row>
    <row r="34" spans="1:11" s="90" customFormat="1" x14ac:dyDescent="0.25">
      <c r="A34" s="191" t="s">
        <v>533</v>
      </c>
      <c r="B34" s="189"/>
      <c r="C34" s="189"/>
      <c r="D34" s="359">
        <v>1.287012</v>
      </c>
      <c r="E34" s="220">
        <v>-0.85998300000000005</v>
      </c>
      <c r="F34" s="220"/>
      <c r="G34" s="220"/>
      <c r="H34" s="220"/>
      <c r="I34" s="220"/>
      <c r="J34" s="220"/>
      <c r="K34" s="220"/>
    </row>
    <row r="35" spans="1:11" x14ac:dyDescent="0.25">
      <c r="A35" s="191" t="s">
        <v>464</v>
      </c>
      <c r="B35" s="189"/>
      <c r="C35" s="189"/>
      <c r="D35" s="359">
        <v>0</v>
      </c>
      <c r="E35" s="220">
        <v>0</v>
      </c>
      <c r="F35" s="220">
        <v>-2.2042099999999998</v>
      </c>
      <c r="G35" s="220">
        <v>-2.2002600000000001</v>
      </c>
      <c r="H35" s="220">
        <v>-2.9399999999999999E-4</v>
      </c>
      <c r="I35" s="220">
        <v>-9.5600000000000004E-4</v>
      </c>
      <c r="J35" s="220">
        <v>-2.7000000000000001E-3</v>
      </c>
      <c r="K35" s="220">
        <v>-0.22821900000000001</v>
      </c>
    </row>
    <row r="36" spans="1:11" x14ac:dyDescent="0.25">
      <c r="A36" s="188" t="s">
        <v>355</v>
      </c>
      <c r="B36" s="189"/>
      <c r="C36" s="193"/>
      <c r="D36" s="359">
        <v>0</v>
      </c>
      <c r="E36" s="220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3.69441</v>
      </c>
    </row>
    <row r="37" spans="1:11" x14ac:dyDescent="0.25">
      <c r="A37" s="233" t="s">
        <v>465</v>
      </c>
      <c r="B37" s="232"/>
      <c r="C37" s="232"/>
      <c r="D37" s="360">
        <v>-61.280800999999997</v>
      </c>
      <c r="E37" s="230">
        <v>-0.280142</v>
      </c>
      <c r="F37" s="230">
        <v>-75.244236000000001</v>
      </c>
      <c r="G37" s="230">
        <v>-19.885200000000001</v>
      </c>
      <c r="H37" s="230">
        <v>-11.096005</v>
      </c>
      <c r="I37" s="230">
        <v>18.490098</v>
      </c>
      <c r="J37" s="230">
        <v>-62.753129000000001</v>
      </c>
      <c r="K37" s="230">
        <v>-160.82070300000001</v>
      </c>
    </row>
    <row r="38" spans="1:11" x14ac:dyDescent="0.25">
      <c r="A38" s="233" t="s">
        <v>340</v>
      </c>
      <c r="B38" s="234"/>
      <c r="C38" s="234"/>
      <c r="D38" s="360">
        <v>8.3063149999999997</v>
      </c>
      <c r="E38" s="230">
        <v>5.6862909999999998</v>
      </c>
      <c r="F38" s="230">
        <v>-71.103348999999994</v>
      </c>
      <c r="G38" s="230">
        <v>-158.633566</v>
      </c>
      <c r="H38" s="230">
        <v>-1.2769509999999999</v>
      </c>
      <c r="I38" s="230">
        <v>-6.7050780000000003</v>
      </c>
      <c r="J38" s="230">
        <v>95.512246000000005</v>
      </c>
      <c r="K38" s="230">
        <v>132.126822</v>
      </c>
    </row>
    <row r="39" spans="1:11" x14ac:dyDescent="0.25">
      <c r="A39" s="233" t="s">
        <v>466</v>
      </c>
      <c r="B39" s="232"/>
      <c r="C39" s="232"/>
      <c r="D39" s="360">
        <v>-52.974485999999999</v>
      </c>
      <c r="E39" s="230">
        <v>5.4061490000000001</v>
      </c>
      <c r="F39" s="230">
        <v>-146.34758500000001</v>
      </c>
      <c r="G39" s="230">
        <v>-178.518766</v>
      </c>
      <c r="H39" s="230">
        <v>-12.372956</v>
      </c>
      <c r="I39" s="230">
        <v>11.785019999999999</v>
      </c>
      <c r="J39" s="230">
        <v>32.759117000000003</v>
      </c>
      <c r="K39" s="230">
        <v>-28.693881000000001</v>
      </c>
    </row>
    <row r="40" spans="1:11" x14ac:dyDescent="0.25">
      <c r="A40" s="191" t="s">
        <v>467</v>
      </c>
      <c r="B40" s="189"/>
      <c r="C40" s="189"/>
      <c r="D40" s="359">
        <v>0</v>
      </c>
      <c r="E40" s="220">
        <v>0</v>
      </c>
      <c r="F40" s="220">
        <v>0</v>
      </c>
      <c r="G40" s="220">
        <v>0</v>
      </c>
      <c r="H40" s="220">
        <v>0</v>
      </c>
      <c r="I40" s="220">
        <v>0</v>
      </c>
      <c r="J40" s="220">
        <v>0</v>
      </c>
      <c r="K40" s="220">
        <v>0</v>
      </c>
    </row>
    <row r="41" spans="1:11" x14ac:dyDescent="0.25">
      <c r="A41" s="235" t="s">
        <v>346</v>
      </c>
      <c r="B41" s="236"/>
      <c r="C41" s="236"/>
      <c r="D41" s="359">
        <v>-52.974485999999999</v>
      </c>
      <c r="E41" s="220">
        <v>5.4061490000000001</v>
      </c>
      <c r="F41" s="220">
        <v>-146.34758500000001</v>
      </c>
      <c r="G41" s="220">
        <v>-178.518766</v>
      </c>
      <c r="H41" s="220">
        <v>-12.372956</v>
      </c>
      <c r="I41" s="220">
        <v>11.785019999999999</v>
      </c>
      <c r="J41" s="220">
        <v>32.759117000000003</v>
      </c>
      <c r="K41" s="220">
        <v>-28.693881000000001</v>
      </c>
    </row>
    <row r="42" spans="1:11" x14ac:dyDescent="0.25">
      <c r="A42" s="237" t="s">
        <v>637</v>
      </c>
      <c r="B42" s="238"/>
      <c r="C42" s="239"/>
      <c r="D42" s="361">
        <v>-17.985578</v>
      </c>
      <c r="E42" s="240">
        <v>8.9617140000000006</v>
      </c>
      <c r="F42" s="240">
        <v>-104.286744</v>
      </c>
      <c r="G42" s="240">
        <v>-165.562389</v>
      </c>
      <c r="H42" s="240">
        <v>5.9011100000000001</v>
      </c>
      <c r="I42" s="240">
        <v>17.417162000000001</v>
      </c>
      <c r="J42" s="240">
        <v>37.957372999999997</v>
      </c>
      <c r="K42" s="240">
        <v>17.098682</v>
      </c>
    </row>
    <row r="43" spans="1:11" s="90" customFormat="1" x14ac:dyDescent="0.25">
      <c r="A43" s="201" t="s">
        <v>639</v>
      </c>
      <c r="B43" s="188"/>
      <c r="C43" s="202"/>
      <c r="D43" s="359">
        <v>-37.614733999999999</v>
      </c>
      <c r="E43" s="220">
        <v>-6.7791110000000003</v>
      </c>
      <c r="F43" s="220">
        <f ca="1">SUM(G43:J43)</f>
        <v>-43.613751999999998</v>
      </c>
      <c r="G43" s="220">
        <v>-9.5970859999999991</v>
      </c>
      <c r="H43" s="220">
        <v>-20.223129</v>
      </c>
      <c r="I43" s="220">
        <v>-6.885364</v>
      </c>
      <c r="J43" s="220">
        <v>-6.9081729999999997</v>
      </c>
      <c r="K43" s="220">
        <f ca="1">K41-K42-K44</f>
        <v>-53.137172</v>
      </c>
    </row>
    <row r="44" spans="1:11" ht="13.2" customHeight="1" x14ac:dyDescent="0.25">
      <c r="A44" s="241" t="s">
        <v>638</v>
      </c>
      <c r="B44" s="146"/>
      <c r="C44" s="146"/>
      <c r="D44" s="362">
        <v>3</v>
      </c>
      <c r="E44" s="242">
        <v>3.2235459999999998</v>
      </c>
      <c r="F44" s="242">
        <v>1.5529109999999999</v>
      </c>
      <c r="G44" s="242">
        <v>-3.3592909999999998</v>
      </c>
      <c r="H44" s="242">
        <v>1.949063</v>
      </c>
      <c r="I44" s="242">
        <v>1.2532220000000001</v>
      </c>
      <c r="J44" s="242">
        <v>1.7099169999999999</v>
      </c>
      <c r="K44" s="242">
        <v>7.3446090000000002</v>
      </c>
    </row>
    <row r="45" spans="1:11" ht="21" x14ac:dyDescent="0.25">
      <c r="A45" s="205" t="s">
        <v>468</v>
      </c>
      <c r="B45" s="145"/>
      <c r="C45" s="206"/>
      <c r="D45" s="359"/>
      <c r="E45" s="220"/>
      <c r="F45" s="220"/>
      <c r="G45" s="220"/>
      <c r="H45" s="220"/>
      <c r="I45" s="220"/>
      <c r="J45" s="220"/>
      <c r="K45" s="220"/>
    </row>
    <row r="46" spans="1:11" ht="15.6" x14ac:dyDescent="0.25">
      <c r="A46" s="191" t="s">
        <v>477</v>
      </c>
      <c r="B46" s="132"/>
      <c r="C46" s="206"/>
      <c r="D46" s="359">
        <v>0</v>
      </c>
      <c r="E46" s="220">
        <v>0</v>
      </c>
      <c r="F46" s="220">
        <v>0</v>
      </c>
      <c r="G46" s="220">
        <v>0</v>
      </c>
      <c r="H46" s="220">
        <v>9.1660000000000005E-3</v>
      </c>
      <c r="I46" s="220">
        <v>3.79E-4</v>
      </c>
      <c r="J46" s="220">
        <v>0</v>
      </c>
      <c r="K46" s="220">
        <v>4.2036030000000002</v>
      </c>
    </row>
    <row r="47" spans="1:11" ht="15.6" x14ac:dyDescent="0.3">
      <c r="A47" s="191" t="s">
        <v>478</v>
      </c>
      <c r="B47" s="105"/>
      <c r="C47" s="206"/>
      <c r="D47" s="359">
        <v>0</v>
      </c>
      <c r="E47" s="220">
        <v>0</v>
      </c>
      <c r="F47" s="220">
        <v>0</v>
      </c>
      <c r="G47" s="220">
        <v>0</v>
      </c>
      <c r="H47" s="220">
        <v>0</v>
      </c>
      <c r="I47" s="220">
        <v>0</v>
      </c>
      <c r="J47" s="220">
        <v>0</v>
      </c>
      <c r="K47" s="220">
        <v>0</v>
      </c>
    </row>
    <row r="48" spans="1:11" ht="15.6" x14ac:dyDescent="0.3">
      <c r="A48" s="248" t="s">
        <v>479</v>
      </c>
      <c r="B48" s="147"/>
      <c r="C48" s="249"/>
      <c r="D48" s="362">
        <v>8375.8469910000003</v>
      </c>
      <c r="E48" s="220">
        <v>7831.5481769999997</v>
      </c>
      <c r="F48" s="242">
        <v>7918.3271180000002</v>
      </c>
      <c r="G48" s="242">
        <v>7918.3271180000002</v>
      </c>
      <c r="H48" s="242">
        <v>8481.0272540000005</v>
      </c>
      <c r="I48" s="242">
        <v>8244.0615369999996</v>
      </c>
      <c r="J48" s="242">
        <v>7793.3323339999997</v>
      </c>
      <c r="K48" s="242">
        <v>7819.9687359999998</v>
      </c>
    </row>
    <row r="49" spans="1:11" ht="15.6" x14ac:dyDescent="0.3">
      <c r="A49" s="244" t="s">
        <v>472</v>
      </c>
      <c r="B49" s="247"/>
      <c r="C49" s="246"/>
      <c r="D49" s="361"/>
      <c r="E49" s="240"/>
      <c r="F49" s="240"/>
      <c r="G49" s="240"/>
      <c r="H49" s="240"/>
      <c r="I49" s="240"/>
      <c r="J49" s="240"/>
      <c r="K49" s="240"/>
    </row>
    <row r="50" spans="1:11" ht="15.6" x14ac:dyDescent="0.3">
      <c r="A50" s="191" t="s">
        <v>480</v>
      </c>
      <c r="B50" s="266"/>
      <c r="C50" s="267"/>
      <c r="D50" s="359">
        <v>2830.5553340000001</v>
      </c>
      <c r="E50" s="220">
        <v>3297.6674899999998</v>
      </c>
      <c r="F50" s="220">
        <v>3477.8972829999998</v>
      </c>
      <c r="G50" s="220">
        <v>3477.8972829999998</v>
      </c>
      <c r="H50" s="220">
        <v>3635.7981340000001</v>
      </c>
      <c r="I50" s="220">
        <v>4058</v>
      </c>
      <c r="J50" s="220">
        <v>4407</v>
      </c>
      <c r="K50" s="220">
        <v>4398.4123339999996</v>
      </c>
    </row>
    <row r="51" spans="1:11" ht="15.6" x14ac:dyDescent="0.3">
      <c r="A51" s="191" t="s">
        <v>490</v>
      </c>
      <c r="B51" s="266"/>
      <c r="C51" s="267"/>
      <c r="D51" s="359">
        <v>9133.4727180000009</v>
      </c>
      <c r="E51" s="220">
        <v>9133.4727180000009</v>
      </c>
      <c r="F51" s="220">
        <v>9133.4727180000009</v>
      </c>
      <c r="G51" s="220">
        <v>9133.4727180000009</v>
      </c>
      <c r="H51" s="220">
        <v>9133.4727180000009</v>
      </c>
      <c r="I51" s="220">
        <v>9133.4727180000009</v>
      </c>
      <c r="J51" s="220">
        <v>9133.4727180000009</v>
      </c>
      <c r="K51" s="220">
        <v>9133.4727180000009</v>
      </c>
    </row>
    <row r="52" spans="1:11" ht="15.6" x14ac:dyDescent="0.3">
      <c r="A52" s="191" t="s">
        <v>473</v>
      </c>
      <c r="B52" s="105"/>
      <c r="C52" s="243"/>
      <c r="D52" s="359">
        <v>-23.453875</v>
      </c>
      <c r="E52" s="220">
        <v>-13.419150999999999</v>
      </c>
      <c r="F52" s="220">
        <v>-22.948858999999999</v>
      </c>
      <c r="G52" s="220">
        <v>-22.948858999999999</v>
      </c>
      <c r="H52" s="220">
        <v>-9.1157819999999994</v>
      </c>
      <c r="I52" s="220">
        <v>10.020021</v>
      </c>
      <c r="J52" s="220">
        <v>2.8651279999999999</v>
      </c>
      <c r="K52" s="220">
        <v>-17.932316</v>
      </c>
    </row>
    <row r="53" spans="1:11" ht="15.6" x14ac:dyDescent="0.3">
      <c r="A53" s="248" t="s">
        <v>327</v>
      </c>
      <c r="B53" s="147"/>
      <c r="C53" s="249"/>
      <c r="D53" s="362">
        <v>276.584990404</v>
      </c>
      <c r="E53" s="242">
        <v>336.13360294</v>
      </c>
      <c r="F53" s="242">
        <v>338.75245843199997</v>
      </c>
      <c r="G53" s="242">
        <v>338.75245843199997</v>
      </c>
      <c r="H53" s="242">
        <v>369.007223936</v>
      </c>
      <c r="I53" s="242">
        <v>431.98168995999998</v>
      </c>
      <c r="J53" s="242">
        <v>461.11639888000002</v>
      </c>
      <c r="K53" s="242">
        <v>428.17643299500003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E102"/>
  <sheetViews>
    <sheetView showGridLines="0" zoomScale="80" zoomScaleNormal="80" workbookViewId="0">
      <selection activeCell="B68" sqref="B68"/>
    </sheetView>
  </sheetViews>
  <sheetFormatPr defaultColWidth="9.109375" defaultRowHeight="15.6" x14ac:dyDescent="0.3"/>
  <cols>
    <col min="1" max="1" width="9.109375" style="148"/>
    <col min="2" max="2" width="63.6640625" style="148" customWidth="1"/>
    <col min="3" max="3" width="9.109375" style="148"/>
    <col min="4" max="5" width="10.109375" style="148" bestFit="1" customWidth="1"/>
    <col min="6" max="16384" width="9.109375" style="148"/>
  </cols>
  <sheetData>
    <row r="2" spans="2:5" s="401" customFormat="1" ht="13.2" x14ac:dyDescent="0.25">
      <c r="B2" s="149" t="s">
        <v>366</v>
      </c>
      <c r="C2" s="150"/>
      <c r="D2" s="150"/>
      <c r="E2" s="150"/>
    </row>
    <row r="3" spans="2:5" s="401" customFormat="1" ht="13.8" thickBot="1" x14ac:dyDescent="0.3">
      <c r="B3" s="151" t="s">
        <v>367</v>
      </c>
      <c r="C3" s="152"/>
      <c r="D3" s="153">
        <v>43281</v>
      </c>
      <c r="E3" s="153">
        <v>43100</v>
      </c>
    </row>
    <row r="4" spans="2:5" s="401" customFormat="1" x14ac:dyDescent="0.25">
      <c r="B4" s="402" t="s">
        <v>518</v>
      </c>
      <c r="C4" s="403"/>
      <c r="D4" s="404">
        <v>207</v>
      </c>
      <c r="E4" s="405">
        <v>191</v>
      </c>
    </row>
    <row r="5" spans="2:5" s="401" customFormat="1" ht="16.2" thickBot="1" x14ac:dyDescent="0.3">
      <c r="B5" s="406" t="s">
        <v>519</v>
      </c>
      <c r="C5" s="407"/>
      <c r="D5" s="408">
        <v>167</v>
      </c>
      <c r="E5" s="409">
        <v>154</v>
      </c>
    </row>
    <row r="6" spans="2:5" s="401" customFormat="1" ht="27" thickBot="1" x14ac:dyDescent="0.3">
      <c r="B6" s="406" t="s">
        <v>368</v>
      </c>
      <c r="C6" s="407"/>
      <c r="D6" s="408"/>
      <c r="E6" s="409"/>
    </row>
    <row r="7" spans="2:5" s="401" customFormat="1" ht="13.2" x14ac:dyDescent="0.25">
      <c r="B7" s="402" t="s">
        <v>369</v>
      </c>
      <c r="C7" s="403"/>
      <c r="D7" s="410">
        <v>0.65</v>
      </c>
      <c r="E7" s="411">
        <v>0.63</v>
      </c>
    </row>
    <row r="8" spans="2:5" s="401" customFormat="1" ht="13.2" x14ac:dyDescent="0.25">
      <c r="B8" s="402" t="s">
        <v>370</v>
      </c>
      <c r="C8" s="403"/>
      <c r="D8" s="410">
        <v>0.15</v>
      </c>
      <c r="E8" s="411">
        <v>0.16</v>
      </c>
    </row>
    <row r="9" spans="2:5" s="401" customFormat="1" ht="13.2" x14ac:dyDescent="0.25">
      <c r="B9" s="402" t="s">
        <v>371</v>
      </c>
      <c r="C9" s="403"/>
      <c r="D9" s="410">
        <v>0.17</v>
      </c>
      <c r="E9" s="411">
        <v>0.18</v>
      </c>
    </row>
    <row r="10" spans="2:5" s="401" customFormat="1" ht="13.2" x14ac:dyDescent="0.25">
      <c r="B10" s="402" t="s">
        <v>372</v>
      </c>
      <c r="C10" s="403"/>
      <c r="D10" s="410">
        <v>0.02</v>
      </c>
      <c r="E10" s="411">
        <v>0.03</v>
      </c>
    </row>
    <row r="11" spans="2:5" s="401" customFormat="1" ht="13.8" thickBot="1" x14ac:dyDescent="0.3">
      <c r="B11" s="406" t="s">
        <v>282</v>
      </c>
      <c r="C11" s="407"/>
      <c r="D11" s="412">
        <v>1</v>
      </c>
      <c r="E11" s="413">
        <v>1</v>
      </c>
    </row>
    <row r="12" spans="2:5" s="401" customFormat="1" ht="13.8" thickBot="1" x14ac:dyDescent="0.3">
      <c r="B12" s="406" t="s">
        <v>373</v>
      </c>
      <c r="C12" s="407"/>
      <c r="D12" s="408"/>
      <c r="E12" s="409"/>
    </row>
    <row r="13" spans="2:5" s="401" customFormat="1" ht="13.2" x14ac:dyDescent="0.25">
      <c r="B13" s="402" t="s">
        <v>374</v>
      </c>
      <c r="C13" s="468"/>
      <c r="D13" s="404" t="s">
        <v>568</v>
      </c>
      <c r="E13" s="405" t="s">
        <v>587</v>
      </c>
    </row>
    <row r="14" spans="2:5" s="401" customFormat="1" ht="13.2" x14ac:dyDescent="0.25">
      <c r="B14" s="402" t="s">
        <v>375</v>
      </c>
      <c r="C14" s="469"/>
      <c r="D14" s="404" t="s">
        <v>569</v>
      </c>
      <c r="E14" s="405" t="s">
        <v>588</v>
      </c>
    </row>
    <row r="15" spans="2:5" s="401" customFormat="1" ht="13.2" x14ac:dyDescent="0.25">
      <c r="B15" s="402" t="s">
        <v>376</v>
      </c>
      <c r="C15" s="469"/>
      <c r="D15" s="404" t="s">
        <v>570</v>
      </c>
      <c r="E15" s="405" t="s">
        <v>589</v>
      </c>
    </row>
    <row r="16" spans="2:5" s="401" customFormat="1" ht="13.2" x14ac:dyDescent="0.25">
      <c r="B16" s="402" t="s">
        <v>377</v>
      </c>
      <c r="C16" s="469"/>
      <c r="D16" s="404" t="s">
        <v>571</v>
      </c>
      <c r="E16" s="405" t="s">
        <v>590</v>
      </c>
    </row>
    <row r="17" spans="2:5" s="401" customFormat="1" ht="13.2" x14ac:dyDescent="0.25">
      <c r="B17" s="402" t="s">
        <v>378</v>
      </c>
      <c r="C17" s="469"/>
      <c r="D17" s="404" t="s">
        <v>572</v>
      </c>
      <c r="E17" s="405" t="s">
        <v>591</v>
      </c>
    </row>
    <row r="18" spans="2:5" s="401" customFormat="1" ht="13.2" x14ac:dyDescent="0.25">
      <c r="B18" s="402" t="s">
        <v>379</v>
      </c>
      <c r="C18" s="469"/>
      <c r="D18" s="404" t="s">
        <v>573</v>
      </c>
      <c r="E18" s="405" t="s">
        <v>592</v>
      </c>
    </row>
    <row r="19" spans="2:5" s="401" customFormat="1" ht="13.2" x14ac:dyDescent="0.25">
      <c r="B19" s="402" t="s">
        <v>380</v>
      </c>
      <c r="C19" s="469"/>
      <c r="D19" s="404" t="s">
        <v>574</v>
      </c>
      <c r="E19" s="405" t="s">
        <v>593</v>
      </c>
    </row>
    <row r="20" spans="2:5" s="401" customFormat="1" ht="13.2" x14ac:dyDescent="0.25">
      <c r="B20" s="402" t="s">
        <v>381</v>
      </c>
      <c r="C20" s="469"/>
      <c r="D20" s="404" t="s">
        <v>575</v>
      </c>
      <c r="E20" s="405" t="s">
        <v>570</v>
      </c>
    </row>
    <row r="21" spans="2:5" s="401" customFormat="1" ht="13.2" x14ac:dyDescent="0.25">
      <c r="B21" s="402" t="s">
        <v>382</v>
      </c>
      <c r="C21" s="469"/>
      <c r="D21" s="404" t="s">
        <v>576</v>
      </c>
      <c r="E21" s="405" t="s">
        <v>589</v>
      </c>
    </row>
    <row r="22" spans="2:5" s="401" customFormat="1" ht="13.2" x14ac:dyDescent="0.25">
      <c r="B22" s="402" t="s">
        <v>383</v>
      </c>
      <c r="C22" s="469"/>
      <c r="D22" s="404" t="s">
        <v>577</v>
      </c>
      <c r="E22" s="405" t="s">
        <v>577</v>
      </c>
    </row>
    <row r="23" spans="2:5" s="401" customFormat="1" ht="13.2" x14ac:dyDescent="0.25">
      <c r="B23" s="402" t="s">
        <v>384</v>
      </c>
      <c r="C23" s="469"/>
      <c r="D23" s="404" t="s">
        <v>578</v>
      </c>
      <c r="E23" s="405" t="s">
        <v>594</v>
      </c>
    </row>
    <row r="24" spans="2:5" s="401" customFormat="1" ht="13.2" x14ac:dyDescent="0.25">
      <c r="B24" s="402" t="s">
        <v>385</v>
      </c>
      <c r="C24" s="469"/>
      <c r="D24" s="404" t="s">
        <v>579</v>
      </c>
      <c r="E24" s="405" t="s">
        <v>579</v>
      </c>
    </row>
    <row r="25" spans="2:5" s="401" customFormat="1" ht="13.2" x14ac:dyDescent="0.25">
      <c r="B25" s="402" t="s">
        <v>386</v>
      </c>
      <c r="C25" s="469"/>
      <c r="D25" s="404" t="s">
        <v>579</v>
      </c>
      <c r="E25" s="405" t="s">
        <v>595</v>
      </c>
    </row>
    <row r="26" spans="2:5" s="401" customFormat="1" ht="13.2" x14ac:dyDescent="0.25">
      <c r="B26" s="402" t="s">
        <v>389</v>
      </c>
      <c r="C26" s="469"/>
      <c r="D26" s="404" t="s">
        <v>580</v>
      </c>
      <c r="E26" s="405" t="s">
        <v>580</v>
      </c>
    </row>
    <row r="27" spans="2:5" s="401" customFormat="1" ht="13.2" x14ac:dyDescent="0.25">
      <c r="B27" s="402" t="s">
        <v>388</v>
      </c>
      <c r="C27" s="469"/>
      <c r="D27" s="404" t="s">
        <v>581</v>
      </c>
      <c r="E27" s="405" t="s">
        <v>581</v>
      </c>
    </row>
    <row r="28" spans="2:5" s="401" customFormat="1" ht="13.2" x14ac:dyDescent="0.25">
      <c r="B28" s="402" t="s">
        <v>387</v>
      </c>
      <c r="C28" s="469"/>
      <c r="D28" s="404" t="s">
        <v>582</v>
      </c>
      <c r="E28" s="405" t="s">
        <v>580</v>
      </c>
    </row>
    <row r="29" spans="2:5" s="401" customFormat="1" ht="13.2" x14ac:dyDescent="0.25">
      <c r="B29" s="402" t="s">
        <v>390</v>
      </c>
      <c r="C29" s="469"/>
      <c r="D29" s="404" t="s">
        <v>582</v>
      </c>
      <c r="E29" s="405" t="s">
        <v>582</v>
      </c>
    </row>
    <row r="30" spans="2:5" s="401" customFormat="1" ht="13.2" x14ac:dyDescent="0.25">
      <c r="B30" s="402" t="s">
        <v>391</v>
      </c>
      <c r="C30" s="469"/>
      <c r="D30" s="404" t="s">
        <v>583</v>
      </c>
      <c r="E30" s="405" t="s">
        <v>583</v>
      </c>
    </row>
    <row r="31" spans="2:5" s="401" customFormat="1" ht="13.2" x14ac:dyDescent="0.25">
      <c r="B31" s="402" t="s">
        <v>392</v>
      </c>
      <c r="C31" s="469"/>
      <c r="D31" s="404" t="s">
        <v>584</v>
      </c>
      <c r="E31" s="405" t="s">
        <v>584</v>
      </c>
    </row>
    <row r="32" spans="2:5" s="401" customFormat="1" ht="13.2" x14ac:dyDescent="0.25">
      <c r="B32" s="402" t="s">
        <v>450</v>
      </c>
      <c r="C32" s="469"/>
      <c r="D32" s="404" t="s">
        <v>585</v>
      </c>
      <c r="E32" s="405" t="s">
        <v>596</v>
      </c>
    </row>
    <row r="33" spans="2:5" s="401" customFormat="1" ht="13.2" x14ac:dyDescent="0.25">
      <c r="B33" s="402" t="s">
        <v>393</v>
      </c>
      <c r="C33" s="469"/>
      <c r="D33" s="404" t="s">
        <v>585</v>
      </c>
      <c r="E33" s="405" t="s">
        <v>585</v>
      </c>
    </row>
    <row r="34" spans="2:5" s="401" customFormat="1" x14ac:dyDescent="0.25">
      <c r="B34" s="402" t="s">
        <v>451</v>
      </c>
      <c r="C34" s="469"/>
      <c r="D34" s="404" t="s">
        <v>586</v>
      </c>
      <c r="E34" s="405" t="s">
        <v>576</v>
      </c>
    </row>
    <row r="35" spans="2:5" s="414" customFormat="1" ht="13.8" thickBot="1" x14ac:dyDescent="0.3">
      <c r="B35" s="406" t="s">
        <v>434</v>
      </c>
      <c r="C35" s="470"/>
      <c r="D35" s="399"/>
      <c r="E35" s="400"/>
    </row>
    <row r="36" spans="2:5" s="401" customFormat="1" ht="13.8" thickBot="1" x14ac:dyDescent="0.3">
      <c r="B36" s="406" t="s">
        <v>394</v>
      </c>
      <c r="C36" s="407"/>
      <c r="D36" s="408"/>
      <c r="E36" s="409"/>
    </row>
    <row r="37" spans="2:5" s="401" customFormat="1" ht="13.2" x14ac:dyDescent="0.25">
      <c r="B37" s="402" t="s">
        <v>395</v>
      </c>
      <c r="C37" s="471"/>
      <c r="D37" s="404" t="s">
        <v>597</v>
      </c>
      <c r="E37" s="405" t="s">
        <v>604</v>
      </c>
    </row>
    <row r="38" spans="2:5" s="401" customFormat="1" ht="13.2" x14ac:dyDescent="0.25">
      <c r="B38" s="160" t="s">
        <v>369</v>
      </c>
      <c r="C38" s="467"/>
      <c r="D38" s="404" t="s">
        <v>598</v>
      </c>
      <c r="E38" s="405" t="s">
        <v>605</v>
      </c>
    </row>
    <row r="39" spans="2:5" s="401" customFormat="1" ht="13.2" x14ac:dyDescent="0.25">
      <c r="B39" s="160" t="s">
        <v>370</v>
      </c>
      <c r="C39" s="467"/>
      <c r="D39" s="404" t="s">
        <v>599</v>
      </c>
      <c r="E39" s="405" t="s">
        <v>599</v>
      </c>
    </row>
    <row r="40" spans="2:5" s="401" customFormat="1" ht="13.2" x14ac:dyDescent="0.25">
      <c r="B40" s="160" t="s">
        <v>396</v>
      </c>
      <c r="C40" s="467"/>
      <c r="D40" s="404" t="s">
        <v>600</v>
      </c>
      <c r="E40" s="405" t="s">
        <v>569</v>
      </c>
    </row>
    <row r="41" spans="2:5" s="401" customFormat="1" ht="13.2" x14ac:dyDescent="0.25">
      <c r="B41" s="160" t="s">
        <v>397</v>
      </c>
      <c r="C41" s="467"/>
      <c r="D41" s="404" t="s">
        <v>601</v>
      </c>
      <c r="E41" s="405" t="s">
        <v>606</v>
      </c>
    </row>
    <row r="42" spans="2:5" s="401" customFormat="1" ht="13.2" x14ac:dyDescent="0.25">
      <c r="B42" s="160" t="s">
        <v>398</v>
      </c>
      <c r="C42" s="467"/>
      <c r="D42" s="404" t="s">
        <v>602</v>
      </c>
      <c r="E42" s="405" t="s">
        <v>607</v>
      </c>
    </row>
    <row r="43" spans="2:5" s="401" customFormat="1" ht="13.2" x14ac:dyDescent="0.25">
      <c r="B43" s="160" t="s">
        <v>399</v>
      </c>
      <c r="C43" s="467"/>
      <c r="D43" s="404" t="s">
        <v>603</v>
      </c>
      <c r="E43" s="405" t="s">
        <v>608</v>
      </c>
    </row>
    <row r="44" spans="2:5" s="401" customFormat="1" ht="13.2" x14ac:dyDescent="0.25">
      <c r="B44" s="402" t="s">
        <v>400</v>
      </c>
      <c r="C44" s="467"/>
      <c r="D44" s="404" t="s">
        <v>609</v>
      </c>
      <c r="E44" s="405" t="s">
        <v>600</v>
      </c>
    </row>
    <row r="45" spans="2:5" s="401" customFormat="1" ht="13.2" x14ac:dyDescent="0.25">
      <c r="B45" s="161" t="s">
        <v>401</v>
      </c>
      <c r="C45" s="467"/>
      <c r="D45" s="404" t="s">
        <v>577</v>
      </c>
      <c r="E45" s="405" t="s">
        <v>611</v>
      </c>
    </row>
    <row r="46" spans="2:5" s="401" customFormat="1" ht="13.2" x14ac:dyDescent="0.25">
      <c r="B46" s="161" t="s">
        <v>402</v>
      </c>
      <c r="C46" s="467"/>
      <c r="D46" s="404" t="s">
        <v>578</v>
      </c>
      <c r="E46" s="405" t="s">
        <v>578</v>
      </c>
    </row>
    <row r="47" spans="2:5" s="401" customFormat="1" ht="13.2" x14ac:dyDescent="0.25">
      <c r="B47" s="161" t="s">
        <v>403</v>
      </c>
      <c r="C47" s="467"/>
      <c r="D47" s="404" t="s">
        <v>580</v>
      </c>
      <c r="E47" s="405" t="s">
        <v>581</v>
      </c>
    </row>
    <row r="48" spans="2:5" s="401" customFormat="1" ht="13.2" x14ac:dyDescent="0.25">
      <c r="B48" s="161" t="s">
        <v>404</v>
      </c>
      <c r="C48" s="467"/>
      <c r="D48" s="404" t="s">
        <v>596</v>
      </c>
      <c r="E48" s="405" t="s">
        <v>596</v>
      </c>
    </row>
    <row r="49" spans="2:5" s="401" customFormat="1" ht="13.2" x14ac:dyDescent="0.25">
      <c r="B49" s="161" t="s">
        <v>405</v>
      </c>
      <c r="C49" s="467"/>
      <c r="D49" s="404" t="s">
        <v>583</v>
      </c>
      <c r="E49" s="405" t="s">
        <v>585</v>
      </c>
    </row>
    <row r="50" spans="2:5" s="401" customFormat="1" ht="13.2" x14ac:dyDescent="0.25">
      <c r="B50" s="161" t="s">
        <v>406</v>
      </c>
      <c r="C50" s="467"/>
      <c r="D50" s="404" t="s">
        <v>584</v>
      </c>
      <c r="E50" s="405" t="s">
        <v>585</v>
      </c>
    </row>
    <row r="51" spans="2:5" s="401" customFormat="1" ht="13.2" x14ac:dyDescent="0.25">
      <c r="B51" s="161" t="s">
        <v>407</v>
      </c>
      <c r="C51" s="467"/>
      <c r="D51" s="404" t="s">
        <v>610</v>
      </c>
      <c r="E51" s="405" t="s">
        <v>581</v>
      </c>
    </row>
    <row r="52" spans="2:5" s="401" customFormat="1" ht="13.2" x14ac:dyDescent="0.25">
      <c r="B52" s="402" t="s">
        <v>408</v>
      </c>
      <c r="C52" s="467"/>
      <c r="D52" s="404" t="s">
        <v>585</v>
      </c>
      <c r="E52" s="405" t="s">
        <v>613</v>
      </c>
    </row>
    <row r="53" spans="2:5" s="401" customFormat="1" ht="13.2" x14ac:dyDescent="0.25">
      <c r="B53" s="162" t="s">
        <v>409</v>
      </c>
      <c r="C53" s="467"/>
      <c r="D53" s="404" t="s">
        <v>612</v>
      </c>
      <c r="E53" s="405" t="s">
        <v>614</v>
      </c>
    </row>
    <row r="54" spans="2:5" s="401" customFormat="1" ht="13.2" x14ac:dyDescent="0.25">
      <c r="B54" s="162" t="s">
        <v>407</v>
      </c>
      <c r="C54" s="467"/>
      <c r="D54" s="404" t="s">
        <v>613</v>
      </c>
      <c r="E54" s="405" t="s">
        <v>613</v>
      </c>
    </row>
    <row r="55" spans="2:5" s="401" customFormat="1" ht="13.2" x14ac:dyDescent="0.25">
      <c r="B55" s="402" t="s">
        <v>410</v>
      </c>
      <c r="C55" s="467"/>
      <c r="D55" s="404" t="s">
        <v>579</v>
      </c>
      <c r="E55" s="405" t="s">
        <v>595</v>
      </c>
    </row>
    <row r="56" spans="2:5" s="401" customFormat="1" ht="13.2" x14ac:dyDescent="0.25">
      <c r="B56" s="162" t="s">
        <v>411</v>
      </c>
      <c r="C56" s="467"/>
      <c r="D56" s="404" t="s">
        <v>580</v>
      </c>
      <c r="E56" s="405" t="s">
        <v>581</v>
      </c>
    </row>
    <row r="57" spans="2:5" s="401" customFormat="1" ht="13.2" x14ac:dyDescent="0.25">
      <c r="B57" s="162" t="s">
        <v>412</v>
      </c>
      <c r="C57" s="467"/>
      <c r="D57" s="404" t="s">
        <v>615</v>
      </c>
      <c r="E57" s="405" t="s">
        <v>615</v>
      </c>
    </row>
    <row r="58" spans="2:5" s="401" customFormat="1" ht="13.2" x14ac:dyDescent="0.25">
      <c r="B58" s="402" t="s">
        <v>413</v>
      </c>
      <c r="C58" s="467"/>
      <c r="D58" s="404" t="s">
        <v>578</v>
      </c>
      <c r="E58" s="405" t="s">
        <v>583</v>
      </c>
    </row>
    <row r="59" spans="2:5" s="401" customFormat="1" ht="13.2" x14ac:dyDescent="0.25">
      <c r="B59" s="402" t="s">
        <v>452</v>
      </c>
      <c r="C59" s="467"/>
      <c r="D59" s="404" t="s">
        <v>583</v>
      </c>
      <c r="E59" s="405" t="s">
        <v>615</v>
      </c>
    </row>
    <row r="60" spans="2:5" s="401" customFormat="1" ht="13.2" x14ac:dyDescent="0.25">
      <c r="B60" s="162" t="s">
        <v>414</v>
      </c>
      <c r="C60" s="467"/>
      <c r="D60" s="404" t="s">
        <v>612</v>
      </c>
      <c r="E60" s="405" t="s">
        <v>612</v>
      </c>
    </row>
    <row r="61" spans="2:5" s="401" customFormat="1" ht="13.2" x14ac:dyDescent="0.25">
      <c r="B61" s="162" t="s">
        <v>415</v>
      </c>
      <c r="C61" s="467"/>
      <c r="D61" s="404" t="s">
        <v>612</v>
      </c>
      <c r="E61" s="405" t="s">
        <v>612</v>
      </c>
    </row>
    <row r="62" spans="2:5" s="401" customFormat="1" ht="13.2" x14ac:dyDescent="0.25">
      <c r="B62" s="162" t="s">
        <v>407</v>
      </c>
      <c r="C62" s="467"/>
      <c r="D62" s="404" t="s">
        <v>613</v>
      </c>
      <c r="E62" s="405" t="s">
        <v>614</v>
      </c>
    </row>
    <row r="63" spans="2:5" s="401" customFormat="1" ht="13.8" thickBot="1" x14ac:dyDescent="0.3">
      <c r="B63" s="406" t="s">
        <v>416</v>
      </c>
      <c r="C63" s="407"/>
      <c r="D63" s="408" t="s">
        <v>611</v>
      </c>
      <c r="E63" s="409" t="s">
        <v>595</v>
      </c>
    </row>
    <row r="64" spans="2:5" s="268" customFormat="1" ht="16.2" thickBot="1" x14ac:dyDescent="0.35">
      <c r="B64" s="398"/>
      <c r="C64"/>
      <c r="D64"/>
      <c r="E64"/>
    </row>
    <row r="65" spans="2:5" ht="29.4" thickBot="1" x14ac:dyDescent="0.35">
      <c r="B65" s="321" t="s">
        <v>636</v>
      </c>
      <c r="C65" s="322"/>
      <c r="D65" s="323"/>
      <c r="E65" s="324"/>
    </row>
    <row r="66" spans="2:5" x14ac:dyDescent="0.3">
      <c r="B66" s="347" t="s">
        <v>520</v>
      </c>
      <c r="C66" s="346"/>
      <c r="D66" s="158">
        <v>0.83</v>
      </c>
      <c r="E66" s="155"/>
    </row>
    <row r="67" spans="2:5" x14ac:dyDescent="0.3">
      <c r="B67" s="347" t="s">
        <v>521</v>
      </c>
      <c r="C67" s="346"/>
      <c r="D67" s="158">
        <v>0.63</v>
      </c>
      <c r="E67" s="155"/>
    </row>
    <row r="68" spans="2:5" x14ac:dyDescent="0.3">
      <c r="B68" s="347" t="s">
        <v>522</v>
      </c>
      <c r="C68" s="346"/>
      <c r="D68" s="158">
        <v>0.2</v>
      </c>
      <c r="E68" s="155"/>
    </row>
    <row r="69" spans="2:5" ht="28.8" x14ac:dyDescent="0.3">
      <c r="B69" s="347" t="s">
        <v>528</v>
      </c>
      <c r="C69" s="346"/>
      <c r="D69" s="158">
        <v>0.11</v>
      </c>
      <c r="E69" s="155"/>
    </row>
    <row r="70" spans="2:5" x14ac:dyDescent="0.3">
      <c r="B70" s="347" t="s">
        <v>521</v>
      </c>
      <c r="C70" s="346"/>
      <c r="D70" s="158">
        <v>0.04</v>
      </c>
      <c r="E70" s="155"/>
    </row>
    <row r="71" spans="2:5" x14ac:dyDescent="0.3">
      <c r="B71" s="347" t="s">
        <v>522</v>
      </c>
      <c r="C71" s="346"/>
      <c r="D71" s="158">
        <v>0.08</v>
      </c>
      <c r="E71" s="155"/>
    </row>
    <row r="72" spans="2:5" ht="28.8" x14ac:dyDescent="0.3">
      <c r="B72" s="347" t="s">
        <v>529</v>
      </c>
      <c r="C72" s="346"/>
      <c r="D72" s="158">
        <v>0.05</v>
      </c>
      <c r="E72" s="155"/>
    </row>
    <row r="73" spans="2:5" ht="16.2" thickBot="1" x14ac:dyDescent="0.35">
      <c r="B73" s="347" t="s">
        <v>523</v>
      </c>
      <c r="C73" s="346"/>
      <c r="D73" s="158">
        <v>0.05</v>
      </c>
      <c r="E73" s="155"/>
    </row>
    <row r="74" spans="2:5" ht="16.2" thickBot="1" x14ac:dyDescent="0.35">
      <c r="B74" s="325" t="s">
        <v>417</v>
      </c>
      <c r="C74" s="326"/>
      <c r="D74" s="327"/>
      <c r="E74" s="328"/>
    </row>
    <row r="75" spans="2:5" x14ac:dyDescent="0.3">
      <c r="B75" s="347" t="s">
        <v>418</v>
      </c>
      <c r="C75" s="346"/>
      <c r="D75" s="329">
        <v>9175</v>
      </c>
      <c r="E75" s="330">
        <v>9186</v>
      </c>
    </row>
    <row r="76" spans="2:5" x14ac:dyDescent="0.3">
      <c r="B76" s="347" t="s">
        <v>419</v>
      </c>
      <c r="C76" s="346"/>
      <c r="D76" s="329">
        <v>5348</v>
      </c>
      <c r="E76" s="330">
        <v>5242</v>
      </c>
    </row>
    <row r="77" spans="2:5" x14ac:dyDescent="0.3">
      <c r="B77" s="347" t="s">
        <v>420</v>
      </c>
      <c r="C77" s="346"/>
      <c r="D77" s="154"/>
      <c r="E77" s="155"/>
    </row>
    <row r="78" spans="2:5" x14ac:dyDescent="0.3">
      <c r="B78" s="347" t="s">
        <v>349</v>
      </c>
      <c r="C78" s="346"/>
      <c r="D78" s="154" t="s">
        <v>616</v>
      </c>
      <c r="E78" s="155" t="s">
        <v>589</v>
      </c>
    </row>
    <row r="79" spans="2:5" x14ac:dyDescent="0.3">
      <c r="B79" s="347" t="s">
        <v>350</v>
      </c>
      <c r="C79" s="346"/>
      <c r="D79" s="154" t="s">
        <v>608</v>
      </c>
      <c r="E79" s="155" t="s">
        <v>616</v>
      </c>
    </row>
    <row r="80" spans="2:5" x14ac:dyDescent="0.3">
      <c r="B80" s="347" t="s">
        <v>351</v>
      </c>
      <c r="C80" s="346"/>
      <c r="D80" s="154" t="s">
        <v>617</v>
      </c>
      <c r="E80" s="155" t="s">
        <v>618</v>
      </c>
    </row>
    <row r="81" spans="2:5" x14ac:dyDescent="0.3">
      <c r="B81" s="347" t="s">
        <v>352</v>
      </c>
      <c r="C81" s="346"/>
      <c r="D81" s="154" t="s">
        <v>619</v>
      </c>
      <c r="E81" s="155" t="s">
        <v>620</v>
      </c>
    </row>
    <row r="82" spans="2:5" x14ac:dyDescent="0.3">
      <c r="B82" s="347" t="s">
        <v>421</v>
      </c>
      <c r="C82" s="346"/>
      <c r="D82" s="154" t="s">
        <v>558</v>
      </c>
      <c r="E82" s="155" t="s">
        <v>458</v>
      </c>
    </row>
    <row r="83" spans="2:5" ht="16.2" thickBot="1" x14ac:dyDescent="0.35">
      <c r="B83" s="347" t="s">
        <v>422</v>
      </c>
      <c r="C83" s="346"/>
      <c r="D83" s="154" t="s">
        <v>559</v>
      </c>
      <c r="E83" s="155" t="s">
        <v>459</v>
      </c>
    </row>
    <row r="84" spans="2:5" ht="16.2" thickBot="1" x14ac:dyDescent="0.35">
      <c r="B84" s="163" t="s">
        <v>524</v>
      </c>
      <c r="C84" s="164"/>
      <c r="D84" s="165"/>
      <c r="E84" s="166"/>
    </row>
    <row r="85" spans="2:5" x14ac:dyDescent="0.3">
      <c r="B85" s="347" t="s">
        <v>525</v>
      </c>
      <c r="C85" s="346"/>
      <c r="D85" s="329">
        <v>4403</v>
      </c>
      <c r="E85" s="330">
        <v>4039</v>
      </c>
    </row>
    <row r="86" spans="2:5" x14ac:dyDescent="0.3">
      <c r="B86" s="347" t="s">
        <v>419</v>
      </c>
      <c r="C86" s="346"/>
      <c r="D86" s="329">
        <v>3621</v>
      </c>
      <c r="E86" s="330">
        <v>3361</v>
      </c>
    </row>
    <row r="87" spans="2:5" x14ac:dyDescent="0.3">
      <c r="B87" s="347" t="s">
        <v>423</v>
      </c>
      <c r="C87" s="346"/>
      <c r="D87" s="154"/>
      <c r="E87" s="155"/>
    </row>
    <row r="88" spans="2:5" x14ac:dyDescent="0.3">
      <c r="B88" s="347" t="s">
        <v>526</v>
      </c>
      <c r="C88" s="346"/>
      <c r="D88" s="158">
        <v>0.48</v>
      </c>
      <c r="E88" s="159">
        <v>0.44</v>
      </c>
    </row>
    <row r="89" spans="2:5" x14ac:dyDescent="0.3">
      <c r="B89" s="347" t="s">
        <v>422</v>
      </c>
      <c r="C89" s="346"/>
      <c r="D89" s="158">
        <v>0.68</v>
      </c>
      <c r="E89" s="159">
        <v>0.64</v>
      </c>
    </row>
    <row r="90" spans="2:5" x14ac:dyDescent="0.3">
      <c r="B90" s="347" t="s">
        <v>424</v>
      </c>
      <c r="C90" s="346"/>
      <c r="D90" s="154"/>
      <c r="E90" s="155"/>
    </row>
    <row r="91" spans="2:5" ht="26.4" x14ac:dyDescent="0.3">
      <c r="B91" s="347" t="s">
        <v>527</v>
      </c>
      <c r="C91" s="346"/>
      <c r="D91" s="158">
        <v>0.56999999999999995</v>
      </c>
      <c r="E91" s="159">
        <v>0.54</v>
      </c>
    </row>
    <row r="92" spans="2:5" ht="16.2" thickBot="1" x14ac:dyDescent="0.35">
      <c r="B92" s="347" t="s">
        <v>422</v>
      </c>
      <c r="C92" s="346"/>
      <c r="D92" s="158">
        <v>0.75</v>
      </c>
      <c r="E92" s="159">
        <v>0.73</v>
      </c>
    </row>
    <row r="93" spans="2:5" ht="16.2" thickBot="1" x14ac:dyDescent="0.35">
      <c r="B93" s="163" t="s">
        <v>425</v>
      </c>
      <c r="C93" s="164"/>
      <c r="D93" s="165"/>
      <c r="E93" s="166"/>
    </row>
    <row r="94" spans="2:5" x14ac:dyDescent="0.3">
      <c r="B94" s="347" t="s">
        <v>349</v>
      </c>
      <c r="C94" s="346"/>
      <c r="D94" s="154" t="s">
        <v>621</v>
      </c>
      <c r="E94" s="155" t="s">
        <v>622</v>
      </c>
    </row>
    <row r="95" spans="2:5" x14ac:dyDescent="0.3">
      <c r="B95" s="347" t="s">
        <v>350</v>
      </c>
      <c r="C95" s="346"/>
      <c r="D95" s="154" t="s">
        <v>623</v>
      </c>
      <c r="E95" s="155" t="s">
        <v>624</v>
      </c>
    </row>
    <row r="96" spans="2:5" x14ac:dyDescent="0.3">
      <c r="B96" s="347" t="s">
        <v>351</v>
      </c>
      <c r="C96" s="346"/>
      <c r="D96" s="154" t="s">
        <v>625</v>
      </c>
      <c r="E96" s="155" t="s">
        <v>626</v>
      </c>
    </row>
    <row r="97" spans="2:5" x14ac:dyDescent="0.3">
      <c r="B97" s="347" t="s">
        <v>426</v>
      </c>
      <c r="C97" s="346"/>
      <c r="D97" s="154" t="s">
        <v>627</v>
      </c>
      <c r="E97" s="155" t="s">
        <v>628</v>
      </c>
    </row>
    <row r="98" spans="2:5" x14ac:dyDescent="0.3">
      <c r="B98" s="347" t="s">
        <v>427</v>
      </c>
      <c r="C98" s="346"/>
      <c r="D98" s="154" t="s">
        <v>629</v>
      </c>
      <c r="E98" s="155" t="s">
        <v>630</v>
      </c>
    </row>
    <row r="99" spans="2:5" x14ac:dyDescent="0.3">
      <c r="B99" s="347" t="s">
        <v>428</v>
      </c>
      <c r="C99" s="346"/>
      <c r="D99" s="154" t="s">
        <v>625</v>
      </c>
      <c r="E99" s="155" t="s">
        <v>631</v>
      </c>
    </row>
    <row r="100" spans="2:5" x14ac:dyDescent="0.3">
      <c r="B100" s="347" t="s">
        <v>429</v>
      </c>
      <c r="C100" s="346"/>
      <c r="D100" s="154" t="s">
        <v>632</v>
      </c>
      <c r="E100" s="155" t="s">
        <v>633</v>
      </c>
    </row>
    <row r="101" spans="2:5" x14ac:dyDescent="0.3">
      <c r="B101" s="347" t="s">
        <v>430</v>
      </c>
      <c r="C101" s="167"/>
      <c r="D101" s="154" t="s">
        <v>634</v>
      </c>
      <c r="E101" s="155" t="s">
        <v>635</v>
      </c>
    </row>
    <row r="102" spans="2:5" ht="16.2" thickBot="1" x14ac:dyDescent="0.35">
      <c r="B102" s="348" t="s">
        <v>421</v>
      </c>
      <c r="C102" s="168"/>
      <c r="D102" s="156" t="s">
        <v>557</v>
      </c>
      <c r="E102" s="157" t="s">
        <v>457</v>
      </c>
    </row>
  </sheetData>
  <mergeCells count="6">
    <mergeCell ref="C58:C62"/>
    <mergeCell ref="C13:C35"/>
    <mergeCell ref="C37:C43"/>
    <mergeCell ref="C44:C51"/>
    <mergeCell ref="C52:C54"/>
    <mergeCell ref="C55:C57"/>
  </mergeCells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arameters">
    <tabColor theme="5" tint="0.39997558519241921"/>
    <pageSetUpPr fitToPage="1"/>
  </sheetPr>
  <dimension ref="A1:AP86"/>
  <sheetViews>
    <sheetView showGridLines="0" topLeftCell="D41" zoomScaleNormal="100" workbookViewId="0">
      <selection activeCell="N66" sqref="N66"/>
    </sheetView>
  </sheetViews>
  <sheetFormatPr defaultColWidth="9.109375" defaultRowHeight="13.2" outlineLevelRow="1" outlineLevelCol="1" x14ac:dyDescent="0.25"/>
  <cols>
    <col min="1" max="1" width="35.5546875" style="26" hidden="1" customWidth="1" outlineLevel="1"/>
    <col min="2" max="2" width="28.5546875" style="26" hidden="1" customWidth="1" outlineLevel="1"/>
    <col min="3" max="3" width="33.88671875" style="26" hidden="1" customWidth="1" outlineLevel="1"/>
    <col min="4" max="4" width="28.88671875" style="18" customWidth="1" collapsed="1"/>
    <col min="5" max="5" width="34.6640625" style="16" customWidth="1"/>
    <col min="6" max="6" width="36.109375" style="9" customWidth="1"/>
    <col min="7" max="8" width="18.88671875" style="9" hidden="1" customWidth="1" outlineLevel="1"/>
    <col min="9" max="9" width="13.6640625" style="9" hidden="1" customWidth="1" outlineLevel="1"/>
    <col min="10" max="10" width="13.33203125" style="9" hidden="1" customWidth="1" outlineLevel="1"/>
    <col min="11" max="11" width="11.6640625" style="9" hidden="1" customWidth="1" outlineLevel="1"/>
    <col min="12" max="12" width="12.33203125" style="9" hidden="1" customWidth="1" outlineLevel="1"/>
    <col min="13" max="13" width="27" style="9" hidden="1" customWidth="1" outlineLevel="1"/>
    <col min="14" max="14" width="33.88671875" style="16" customWidth="1" collapsed="1"/>
    <col min="15" max="15" width="9.5546875" style="16" customWidth="1"/>
    <col min="16" max="16" width="9.109375" style="16"/>
    <col min="17" max="17" width="13.109375" style="16" bestFit="1" customWidth="1"/>
    <col min="18" max="19" width="9.109375" style="16"/>
    <col min="20" max="20" width="12.109375" style="16" customWidth="1"/>
    <col min="21" max="30" width="9.109375" style="16"/>
    <col min="31" max="31" width="11.44140625" style="16" customWidth="1"/>
    <col min="32" max="34" width="9.109375" style="16"/>
    <col min="35" max="35" width="16.44140625" style="16" customWidth="1"/>
    <col min="36" max="40" width="9.109375" style="16"/>
    <col min="41" max="41" width="10.5546875" style="16" bestFit="1" customWidth="1"/>
    <col min="42" max="16384" width="9.109375" style="16"/>
  </cols>
  <sheetData>
    <row r="1" spans="1:42" s="12" customFormat="1" hidden="1" outlineLevel="1" x14ac:dyDescent="0.25">
      <c r="A1" s="17"/>
      <c r="B1" s="17" t="s">
        <v>103</v>
      </c>
      <c r="C1" s="17"/>
      <c r="D1" s="17"/>
      <c r="E1" s="17" t="s">
        <v>104</v>
      </c>
      <c r="F1" s="17" t="s">
        <v>105</v>
      </c>
      <c r="G1" s="17"/>
      <c r="H1" s="17"/>
      <c r="I1" s="17"/>
      <c r="J1" s="17"/>
      <c r="K1" s="17"/>
      <c r="L1" s="17"/>
      <c r="M1" s="17"/>
      <c r="O1" s="60" t="s">
        <v>5</v>
      </c>
      <c r="P1" s="61">
        <v>2</v>
      </c>
      <c r="Q1" s="62" t="s">
        <v>215</v>
      </c>
      <c r="R1" s="63" t="s">
        <v>243</v>
      </c>
      <c r="S1" s="64">
        <v>12</v>
      </c>
      <c r="T1" s="62" t="s">
        <v>216</v>
      </c>
      <c r="U1" s="63" t="s">
        <v>156</v>
      </c>
      <c r="V1" s="64">
        <v>4</v>
      </c>
      <c r="W1" s="65"/>
      <c r="X1" s="66"/>
      <c r="Y1" s="65"/>
      <c r="Z1" s="65" t="s">
        <v>300</v>
      </c>
      <c r="AA1" s="65"/>
      <c r="AB1" s="65" t="s">
        <v>264</v>
      </c>
      <c r="AC1" s="65"/>
      <c r="AD1" s="65"/>
      <c r="AE1" s="65" t="s">
        <v>51</v>
      </c>
      <c r="AF1" s="65" t="s">
        <v>206</v>
      </c>
      <c r="AG1" s="65"/>
      <c r="AH1" s="136" t="s">
        <v>51</v>
      </c>
      <c r="AI1" s="16" t="s">
        <v>321</v>
      </c>
      <c r="AJ1" s="16" t="s">
        <v>295</v>
      </c>
      <c r="AK1" s="12" t="s">
        <v>279</v>
      </c>
      <c r="AL1" s="12" t="s">
        <v>282</v>
      </c>
    </row>
    <row r="2" spans="1:42" s="12" customFormat="1" hidden="1" outlineLevel="1" x14ac:dyDescent="0.25">
      <c r="A2" s="17"/>
      <c r="B2" s="17" t="s">
        <v>69</v>
      </c>
      <c r="C2" s="17" t="s">
        <v>106</v>
      </c>
      <c r="D2" s="17"/>
      <c r="E2" s="17" t="s">
        <v>107</v>
      </c>
      <c r="F2" s="17" t="e">
        <f ca="1">_xll.DBRA(Server_P&amp;":}Clients",_xll.TM1USER(Server_P),"}TM1_DefaultDisplayValue")</f>
        <v>#NAME?</v>
      </c>
      <c r="G2" s="17"/>
      <c r="H2" s="17"/>
      <c r="I2" s="17"/>
      <c r="J2" s="17"/>
      <c r="K2" s="17"/>
      <c r="L2" s="17"/>
      <c r="M2" s="17"/>
      <c r="O2" s="67" t="s">
        <v>245</v>
      </c>
      <c r="P2" s="68"/>
      <c r="Q2" s="45" t="s">
        <v>223</v>
      </c>
      <c r="R2" s="46" t="s">
        <v>250</v>
      </c>
      <c r="S2" s="69"/>
      <c r="T2" s="45" t="s">
        <v>222</v>
      </c>
      <c r="U2" s="46" t="s">
        <v>162</v>
      </c>
      <c r="V2" s="69"/>
      <c r="W2" s="65"/>
      <c r="X2" s="66" t="s">
        <v>217</v>
      </c>
      <c r="Y2" s="65" t="s">
        <v>101</v>
      </c>
      <c r="Z2" s="65" t="s">
        <v>69</v>
      </c>
      <c r="AA2" s="65"/>
      <c r="AB2" s="65" t="s">
        <v>233</v>
      </c>
      <c r="AC2" s="65"/>
      <c r="AD2" s="65"/>
      <c r="AE2" s="65" t="s">
        <v>309</v>
      </c>
      <c r="AF2" s="65" t="s">
        <v>311</v>
      </c>
      <c r="AG2" s="65"/>
      <c r="AH2" s="16" t="s">
        <v>309</v>
      </c>
      <c r="AI2" s="16" t="s">
        <v>322</v>
      </c>
      <c r="AJ2" s="16" t="s">
        <v>296</v>
      </c>
      <c r="AK2" s="12" t="s">
        <v>280</v>
      </c>
      <c r="AL2" s="12" t="s">
        <v>283</v>
      </c>
      <c r="AO2" s="12" t="s">
        <v>224</v>
      </c>
      <c r="AP2" s="133" t="s">
        <v>316</v>
      </c>
    </row>
    <row r="3" spans="1:42" ht="27" hidden="1" outlineLevel="1" thickBot="1" x14ac:dyDescent="0.3">
      <c r="A3" s="17" t="s">
        <v>99</v>
      </c>
      <c r="B3" s="17" t="e">
        <f ca="1">IF(LocalCurrency_P&lt;&gt;"EUR",LocalCurrency_P,"")</f>
        <v>#NAME?</v>
      </c>
      <c r="C3" s="5" t="s">
        <v>209</v>
      </c>
      <c r="D3" s="17"/>
      <c r="E3" s="17" t="s">
        <v>38</v>
      </c>
      <c r="F3" s="41" t="s">
        <v>206</v>
      </c>
      <c r="G3" s="17"/>
      <c r="H3" s="17"/>
      <c r="I3" s="17"/>
      <c r="J3" s="17"/>
      <c r="K3" s="17"/>
      <c r="L3" s="17"/>
      <c r="M3" s="17"/>
      <c r="O3" s="70" t="s">
        <v>239</v>
      </c>
      <c r="P3" s="71"/>
      <c r="Q3" s="45" t="s">
        <v>225</v>
      </c>
      <c r="R3" s="46" t="s">
        <v>251</v>
      </c>
      <c r="S3" s="49"/>
      <c r="T3" s="45" t="s">
        <v>224</v>
      </c>
      <c r="U3" s="46" t="s">
        <v>157</v>
      </c>
      <c r="V3" s="49"/>
      <c r="W3" s="50"/>
      <c r="X3" s="66" t="s">
        <v>219</v>
      </c>
      <c r="Y3" s="65" t="s">
        <v>262</v>
      </c>
      <c r="Z3" s="50"/>
      <c r="AA3" s="50"/>
      <c r="AB3" s="50" t="s">
        <v>234</v>
      </c>
      <c r="AC3" s="50"/>
      <c r="AD3" s="50"/>
      <c r="AE3" s="50"/>
      <c r="AF3" s="50" t="s">
        <v>299</v>
      </c>
      <c r="AG3" s="50"/>
      <c r="AH3" s="50"/>
      <c r="AI3" s="18"/>
      <c r="AK3" s="12" t="s">
        <v>281</v>
      </c>
      <c r="AL3" s="16" t="s">
        <v>284</v>
      </c>
      <c r="AO3" s="16" t="s">
        <v>227</v>
      </c>
      <c r="AP3" s="134" t="s">
        <v>317</v>
      </c>
    </row>
    <row r="4" spans="1:42" s="9" customFormat="1" hidden="1" outlineLevel="1" x14ac:dyDescent="0.25">
      <c r="A4" s="17" t="b">
        <v>0</v>
      </c>
      <c r="B4" s="17"/>
      <c r="C4" s="17"/>
      <c r="D4" s="17"/>
      <c r="E4" s="17" t="s">
        <v>36</v>
      </c>
      <c r="F4" s="17" t="b">
        <v>1</v>
      </c>
      <c r="G4" s="17"/>
      <c r="H4" s="17"/>
      <c r="I4" s="17"/>
      <c r="J4" s="17"/>
      <c r="K4" s="17"/>
      <c r="L4" s="17"/>
      <c r="M4" s="17"/>
      <c r="N4" s="22" t="s">
        <v>206</v>
      </c>
      <c r="O4" s="48" t="s">
        <v>204</v>
      </c>
      <c r="P4" s="48"/>
      <c r="Q4" s="45" t="s">
        <v>226</v>
      </c>
      <c r="R4" s="46" t="s">
        <v>252</v>
      </c>
      <c r="S4" s="47"/>
      <c r="T4" s="45" t="s">
        <v>227</v>
      </c>
      <c r="U4" s="46" t="s">
        <v>158</v>
      </c>
      <c r="V4" s="47"/>
      <c r="W4" s="48"/>
      <c r="X4" s="66" t="s">
        <v>218</v>
      </c>
      <c r="Y4" s="65" t="s">
        <v>263</v>
      </c>
      <c r="Z4" s="48"/>
      <c r="AA4" s="48"/>
      <c r="AB4" s="48" t="s">
        <v>265</v>
      </c>
      <c r="AC4" s="48"/>
      <c r="AD4" s="48"/>
      <c r="AE4" s="48"/>
      <c r="AF4" s="48"/>
      <c r="AG4" s="48"/>
      <c r="AH4" s="50"/>
      <c r="AI4" s="18"/>
      <c r="AJ4" s="16"/>
      <c r="AK4" s="12"/>
      <c r="AO4" s="9" t="s">
        <v>220</v>
      </c>
      <c r="AP4" s="135" t="s">
        <v>318</v>
      </c>
    </row>
    <row r="5" spans="1:42" s="9" customFormat="1" hidden="1" outlineLevel="1" x14ac:dyDescent="0.25">
      <c r="A5" s="17" t="b">
        <v>0</v>
      </c>
      <c r="B5" s="17"/>
      <c r="C5" s="17"/>
      <c r="D5" s="17"/>
      <c r="E5" s="17" t="s">
        <v>210</v>
      </c>
      <c r="F5" s="17" t="b">
        <v>0</v>
      </c>
      <c r="G5" s="17"/>
      <c r="H5" s="17"/>
      <c r="I5" s="17"/>
      <c r="J5" s="17"/>
      <c r="K5" s="17"/>
      <c r="L5" s="17"/>
      <c r="M5" s="17"/>
      <c r="O5" s="48"/>
      <c r="P5" s="48"/>
      <c r="Q5" s="45" t="s">
        <v>228</v>
      </c>
      <c r="R5" s="46" t="s">
        <v>253</v>
      </c>
      <c r="S5" s="47"/>
      <c r="T5" s="45" t="s">
        <v>220</v>
      </c>
      <c r="U5" s="46" t="s">
        <v>159</v>
      </c>
      <c r="V5" s="47"/>
      <c r="W5" s="48"/>
      <c r="X5" s="48"/>
      <c r="Y5" s="48"/>
      <c r="Z5" s="48"/>
      <c r="AA5" s="48"/>
      <c r="AB5" s="48" t="s">
        <v>266</v>
      </c>
      <c r="AC5" s="48"/>
      <c r="AD5" s="48"/>
      <c r="AE5" s="48"/>
      <c r="AF5" s="48"/>
      <c r="AG5" s="48"/>
      <c r="AH5" s="50"/>
      <c r="AI5" s="18"/>
      <c r="AJ5" s="16"/>
      <c r="AK5" s="12"/>
      <c r="AO5" s="9" t="s">
        <v>248</v>
      </c>
      <c r="AP5" s="135" t="s">
        <v>302</v>
      </c>
    </row>
    <row r="6" spans="1:42" hidden="1" outlineLevel="1" x14ac:dyDescent="0.25">
      <c r="A6" s="17" t="e">
        <f ca="1">IF(OR(LEFT(Company_I,2)="BB",LEFT(Company_I,2)="CC",AND(RIGHT(Company_I,1)&gt;="0",RIGHT(Company_I,1)&lt;="9")),_xll.DBRA(CompanyExt_V,Company_I,"EN_long"),_xll.DBRA(CompanyExt_V,RIGHT(Company_I,LEN(Company_I)-11),"EN_long"))</f>
        <v>#NAME?</v>
      </c>
      <c r="B6" s="17"/>
      <c r="C6" s="17"/>
      <c r="D6" s="17"/>
      <c r="E6" s="17" t="s">
        <v>74</v>
      </c>
      <c r="F6" s="17" t="e">
        <f ca="1">IF(OR(LEFT(Company_P,2)="BB",LEFT(Company_P,2)="CC",AND(RIGHT(Company_P,1)&gt;="0",RIGHT(Company_P,1)&lt;="9")),_xll.DBRA(CompanyExt_V,Company_P,"EN_long"),_xll.DBRA(CompanyExt_V,RIGHT(Company_P,LEN(Company_P)-11),"EN_long"))</f>
        <v>#NAME?</v>
      </c>
      <c r="G6" s="17"/>
      <c r="H6" s="17"/>
      <c r="I6" s="17"/>
      <c r="J6" s="17"/>
      <c r="K6" s="17"/>
      <c r="L6" s="17"/>
      <c r="M6" s="17"/>
      <c r="O6" s="50"/>
      <c r="P6" s="50"/>
      <c r="Q6" s="45" t="s">
        <v>229</v>
      </c>
      <c r="R6" s="46" t="s">
        <v>254</v>
      </c>
      <c r="S6" s="49"/>
      <c r="T6" s="45" t="s">
        <v>237</v>
      </c>
      <c r="U6" s="46" t="s">
        <v>155</v>
      </c>
      <c r="V6" s="49"/>
      <c r="W6" s="50"/>
      <c r="X6" s="50"/>
      <c r="Y6" s="50"/>
      <c r="Z6" s="50"/>
      <c r="AA6" s="50"/>
      <c r="AB6" s="50" t="s">
        <v>267</v>
      </c>
      <c r="AC6" s="50"/>
      <c r="AD6" s="50"/>
      <c r="AE6" s="50"/>
      <c r="AF6" s="50"/>
      <c r="AG6" s="50"/>
      <c r="AI6" s="18"/>
      <c r="AK6" s="12"/>
      <c r="AO6" s="16" t="s">
        <v>216</v>
      </c>
      <c r="AP6" s="134" t="s">
        <v>319</v>
      </c>
    </row>
    <row r="7" spans="1:42" s="24" customFormat="1" hidden="1" outlineLevel="1" x14ac:dyDescent="0.25">
      <c r="A7" s="17" t="e">
        <f ca="1">IF(LEN(Company_I)&lt;12,_xll.DBRA(CompanyExt_V,Company_I,"Local Currency"),_xll.DBRA(CompanyExt_V,RIGHT(Company_I,LEN(Company_I)-11),"Local Currency"))</f>
        <v>#NAME?</v>
      </c>
      <c r="B7" s="17"/>
      <c r="C7" s="17"/>
      <c r="D7" s="17"/>
      <c r="E7" s="17" t="s">
        <v>75</v>
      </c>
      <c r="F7" s="17" t="e">
        <f ca="1">IF(LEN(Company_P)&lt;12,_xll.DBRA(CompanyExt_V,Company_P,"Local Currency"),_xll.DBRA(CompanyExt_V,RIGHT(Company_P,LEN(Company_P)-11),"Local Currency"))</f>
        <v>#NAME?</v>
      </c>
      <c r="G7" s="17"/>
      <c r="H7" s="17"/>
      <c r="I7" s="17"/>
      <c r="J7" s="17"/>
      <c r="K7" s="17"/>
      <c r="L7" s="17"/>
      <c r="M7" s="17"/>
      <c r="O7" s="52"/>
      <c r="P7" s="52"/>
      <c r="Q7" s="45" t="s">
        <v>230</v>
      </c>
      <c r="R7" s="46" t="s">
        <v>255</v>
      </c>
      <c r="S7" s="51"/>
      <c r="T7" s="45" t="s">
        <v>248</v>
      </c>
      <c r="U7" s="46" t="s">
        <v>160</v>
      </c>
      <c r="V7" s="51"/>
      <c r="W7" s="52"/>
      <c r="X7" s="52"/>
      <c r="Y7" s="52"/>
      <c r="Z7" s="52"/>
      <c r="AA7" s="52"/>
      <c r="AB7" s="52" t="s">
        <v>268</v>
      </c>
      <c r="AC7" s="52"/>
      <c r="AD7" s="52"/>
      <c r="AE7" s="52"/>
      <c r="AF7" s="52"/>
      <c r="AG7" s="52"/>
      <c r="AH7" s="16"/>
      <c r="AI7" s="18"/>
      <c r="AJ7" s="16"/>
      <c r="AK7" s="12"/>
      <c r="AL7" s="90"/>
      <c r="AM7" s="90"/>
      <c r="AO7" s="24" t="s">
        <v>246</v>
      </c>
      <c r="AP7" s="44" t="s">
        <v>320</v>
      </c>
    </row>
    <row r="8" spans="1:42" hidden="1" outlineLevel="1" x14ac:dyDescent="0.25">
      <c r="A8" s="17" t="s">
        <v>34</v>
      </c>
      <c r="B8" s="17"/>
      <c r="C8" s="17"/>
      <c r="D8" s="17"/>
      <c r="E8" s="17" t="s">
        <v>37</v>
      </c>
      <c r="F8" s="17" t="s">
        <v>34</v>
      </c>
      <c r="G8" s="17"/>
      <c r="H8" s="17"/>
      <c r="I8" s="17"/>
      <c r="J8" s="17"/>
      <c r="K8" s="17"/>
      <c r="L8" s="17"/>
      <c r="M8" s="17"/>
      <c r="O8" s="50"/>
      <c r="P8" s="50"/>
      <c r="Q8" s="45" t="s">
        <v>231</v>
      </c>
      <c r="R8" s="46" t="s">
        <v>256</v>
      </c>
      <c r="S8" s="49"/>
      <c r="T8" s="45" t="s">
        <v>235</v>
      </c>
      <c r="U8" s="46" t="s">
        <v>161</v>
      </c>
      <c r="V8" s="49"/>
      <c r="W8" s="50"/>
      <c r="X8" s="50"/>
      <c r="Y8" s="50"/>
      <c r="Z8" s="50"/>
      <c r="AA8" s="50"/>
      <c r="AB8" s="50" t="s">
        <v>236</v>
      </c>
      <c r="AC8" s="50"/>
      <c r="AD8" s="50"/>
      <c r="AE8" s="50"/>
      <c r="AF8" s="50"/>
      <c r="AG8" s="50"/>
      <c r="AI8" s="18"/>
      <c r="AK8" s="12"/>
    </row>
    <row r="9" spans="1:42" hidden="1" outlineLevel="1" x14ac:dyDescent="0.25">
      <c r="A9" s="17">
        <f>FAP_UnitsTextToNumber(UnitText_I)</f>
        <v>1</v>
      </c>
      <c r="B9" s="17"/>
      <c r="C9" s="17"/>
      <c r="D9" s="17"/>
      <c r="E9" s="17" t="s">
        <v>7</v>
      </c>
      <c r="F9" s="16">
        <f>FAP_UnitsTextToNumber(UnitText_P)</f>
        <v>1000000</v>
      </c>
      <c r="G9" s="16"/>
      <c r="H9" s="16"/>
      <c r="I9" s="16"/>
      <c r="J9" s="16"/>
      <c r="K9" s="16"/>
      <c r="L9" s="16"/>
      <c r="M9" s="16"/>
      <c r="N9" s="16">
        <f>FAP_UnitsTextToNumber(UnitText_P)</f>
        <v>1000000</v>
      </c>
      <c r="O9" s="50"/>
      <c r="P9" s="50"/>
      <c r="Q9" s="45" t="s">
        <v>232</v>
      </c>
      <c r="R9" s="46" t="s">
        <v>257</v>
      </c>
      <c r="S9" s="49"/>
      <c r="T9" s="45" t="s">
        <v>249</v>
      </c>
      <c r="U9" s="46" t="s">
        <v>164</v>
      </c>
      <c r="V9" s="49"/>
      <c r="W9" s="50"/>
      <c r="X9" s="50"/>
      <c r="Y9" s="50"/>
      <c r="Z9" s="50"/>
      <c r="AA9" s="50"/>
      <c r="AB9" s="50" t="s">
        <v>269</v>
      </c>
      <c r="AC9" s="50"/>
      <c r="AD9" s="50"/>
      <c r="AE9" s="50"/>
      <c r="AF9" s="50"/>
      <c r="AG9" s="50"/>
      <c r="AI9" s="18"/>
      <c r="AK9" s="12"/>
    </row>
    <row r="10" spans="1:42" s="24" customFormat="1" ht="13.8" hidden="1" outlineLevel="1" thickBot="1" x14ac:dyDescent="0.3">
      <c r="A10" s="17" t="str">
        <f>Currency_I&amp;" ("&amp;UnitText_I&amp;")"</f>
        <v>EUR (Units)</v>
      </c>
      <c r="B10" s="17"/>
      <c r="C10" s="17"/>
      <c r="D10" s="17"/>
      <c r="E10" s="17" t="s">
        <v>32</v>
      </c>
      <c r="F10" s="17" t="str">
        <f>Currency_P&amp;" ("&amp;UnitText_P&amp;")"</f>
        <v>EUR (Millions)</v>
      </c>
      <c r="G10" s="17"/>
      <c r="H10" s="17"/>
      <c r="I10" s="17"/>
      <c r="J10" s="17"/>
      <c r="K10" s="17"/>
      <c r="L10" s="17"/>
      <c r="M10" s="17"/>
      <c r="O10" s="52"/>
      <c r="P10" s="52"/>
      <c r="Q10" s="45" t="s">
        <v>246</v>
      </c>
      <c r="R10" s="46" t="s">
        <v>258</v>
      </c>
      <c r="S10" s="51"/>
      <c r="T10" s="53" t="s">
        <v>275</v>
      </c>
      <c r="U10" s="54" t="s">
        <v>276</v>
      </c>
      <c r="V10" s="55"/>
      <c r="W10" s="52"/>
      <c r="X10" s="52"/>
      <c r="Y10" s="52"/>
      <c r="Z10" s="52"/>
      <c r="AA10" s="52"/>
      <c r="AB10" s="52" t="s">
        <v>270</v>
      </c>
      <c r="AC10" s="52"/>
      <c r="AD10" s="52"/>
      <c r="AE10" s="52"/>
      <c r="AF10" s="52"/>
      <c r="AG10" s="52"/>
      <c r="AH10" s="52"/>
      <c r="AI10" s="90"/>
      <c r="AJ10" s="90"/>
      <c r="AK10" s="12"/>
      <c r="AL10" s="90"/>
      <c r="AM10" s="90"/>
    </row>
    <row r="11" spans="1:42" s="24" customFormat="1" hidden="1" outlineLevel="1" x14ac:dyDescent="0.25">
      <c r="A11" s="2" t="str">
        <f>FAP_LastDayOfMonth(Period_I)</f>
        <v>Parameter should be YYYYMM</v>
      </c>
      <c r="B11" s="17"/>
      <c r="C11" s="17"/>
      <c r="D11" s="17"/>
      <c r="E11" s="17" t="s">
        <v>43</v>
      </c>
      <c r="F11" s="3" t="str">
        <f>FAP_LastDayOfMonth(Period_P)</f>
        <v>30-06-2017</v>
      </c>
      <c r="G11" s="3"/>
      <c r="H11" s="3"/>
      <c r="I11" s="3"/>
      <c r="J11" s="3"/>
      <c r="K11" s="3"/>
      <c r="L11" s="3"/>
      <c r="M11" s="3"/>
      <c r="O11" s="52"/>
      <c r="P11" s="52"/>
      <c r="Q11" s="45" t="s">
        <v>221</v>
      </c>
      <c r="R11" s="46" t="s">
        <v>259</v>
      </c>
      <c r="S11" s="51"/>
      <c r="T11" s="52"/>
      <c r="U11" s="52"/>
      <c r="V11" s="52"/>
      <c r="W11" s="52"/>
      <c r="X11" s="52"/>
      <c r="Y11" s="52"/>
      <c r="Z11" s="52"/>
      <c r="AA11" s="52"/>
      <c r="AB11" s="52" t="s">
        <v>271</v>
      </c>
      <c r="AC11" s="52"/>
      <c r="AD11" s="52"/>
      <c r="AE11" s="52"/>
      <c r="AF11" s="52"/>
      <c r="AG11" s="52"/>
      <c r="AH11" s="52"/>
      <c r="AI11" s="90"/>
      <c r="AJ11" s="90"/>
      <c r="AK11" s="12"/>
      <c r="AL11" s="90"/>
      <c r="AM11" s="90"/>
    </row>
    <row r="12" spans="1:42" s="24" customFormat="1" hidden="1" outlineLevel="1" x14ac:dyDescent="0.25">
      <c r="A12" s="17"/>
      <c r="B12" s="17"/>
      <c r="C12" s="1" t="s">
        <v>39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8"/>
      <c r="O12" s="52"/>
      <c r="P12" s="52"/>
      <c r="Q12" s="45" t="s">
        <v>247</v>
      </c>
      <c r="R12" s="46" t="s">
        <v>260</v>
      </c>
      <c r="S12" s="51"/>
      <c r="T12" s="52"/>
      <c r="U12" s="56"/>
      <c r="V12" s="52"/>
      <c r="W12" s="52"/>
      <c r="X12" s="52"/>
      <c r="Y12" s="52"/>
      <c r="Z12" s="52"/>
      <c r="AA12" s="52"/>
      <c r="AB12" s="52" t="s">
        <v>272</v>
      </c>
      <c r="AC12" s="52"/>
      <c r="AD12" s="52"/>
      <c r="AE12" s="52"/>
      <c r="AF12" s="52"/>
      <c r="AG12" s="52"/>
      <c r="AH12" s="52"/>
      <c r="AI12" s="90"/>
      <c r="AJ12" s="90"/>
      <c r="AK12" s="12"/>
      <c r="AL12" s="90"/>
      <c r="AM12" s="90"/>
    </row>
    <row r="13" spans="1:42" s="24" customFormat="1" ht="13.8" hidden="1" outlineLevel="1" thickBot="1" x14ac:dyDescent="0.3">
      <c r="A13" s="17" t="s">
        <v>68</v>
      </c>
      <c r="B13" s="17"/>
      <c r="C13" s="17"/>
      <c r="D13" s="27" t="s">
        <v>72</v>
      </c>
      <c r="E13" s="27" t="s">
        <v>73</v>
      </c>
      <c r="F13" s="27" t="s">
        <v>19</v>
      </c>
      <c r="G13" s="27"/>
      <c r="H13" s="27"/>
      <c r="I13" s="27"/>
      <c r="J13" s="27"/>
      <c r="K13" s="27"/>
      <c r="L13" s="27"/>
      <c r="M13" s="27"/>
      <c r="O13" s="52"/>
      <c r="P13" s="52"/>
      <c r="Q13" s="57" t="s">
        <v>238</v>
      </c>
      <c r="R13" s="58" t="s">
        <v>261</v>
      </c>
      <c r="S13" s="59"/>
      <c r="T13" s="52"/>
      <c r="U13" s="56"/>
      <c r="V13" s="52"/>
      <c r="W13" s="52"/>
      <c r="X13" s="52"/>
      <c r="Y13" s="52"/>
      <c r="Z13" s="52"/>
      <c r="AA13" s="52"/>
      <c r="AB13" s="52" t="s">
        <v>273</v>
      </c>
      <c r="AC13" s="52"/>
      <c r="AD13" s="52"/>
      <c r="AE13" s="52"/>
      <c r="AF13" s="52"/>
      <c r="AG13" s="52"/>
      <c r="AH13" s="52"/>
      <c r="AI13" s="90"/>
      <c r="AJ13" s="90"/>
      <c r="AK13" s="12"/>
      <c r="AL13" s="90"/>
      <c r="AM13" s="90"/>
    </row>
    <row r="14" spans="1:42" ht="13.8" hidden="1" outlineLevel="1" thickBot="1" x14ac:dyDescent="0.3">
      <c r="A14" s="17" t="str">
        <f>Server_P&amp;":P060_"&amp;Server_P</f>
        <v>GRS:P060_GRS</v>
      </c>
      <c r="B14" s="17"/>
      <c r="C14" s="17"/>
      <c r="D14" s="22" t="str">
        <f>Server_P &amp; ":P060_" &amp; Server_P</f>
        <v>GRS:P060_GRS</v>
      </c>
      <c r="E14" s="31" t="s">
        <v>10</v>
      </c>
      <c r="F14" s="28" t="str">
        <f>Server_P&amp;":P060_"&amp;Cube_P</f>
        <v>GRS:P060_GRS</v>
      </c>
      <c r="G14" s="42"/>
      <c r="H14" s="42"/>
      <c r="I14" s="42"/>
      <c r="J14" s="42"/>
      <c r="K14" s="42"/>
      <c r="L14" s="42"/>
      <c r="M14" s="42"/>
      <c r="N14" s="18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 t="s">
        <v>232</v>
      </c>
      <c r="AC14" s="50"/>
      <c r="AD14" s="50"/>
      <c r="AE14" s="50"/>
      <c r="AF14" s="50"/>
      <c r="AG14" s="50"/>
      <c r="AH14" s="50"/>
      <c r="AK14" s="12"/>
    </row>
    <row r="15" spans="1:42" ht="13.8" hidden="1" outlineLevel="1" thickBot="1" x14ac:dyDescent="0.3">
      <c r="A15" s="17" t="s">
        <v>98</v>
      </c>
      <c r="B15" s="17"/>
      <c r="C15" s="17"/>
      <c r="D15" s="18" t="str">
        <f>Server_P &amp; ":P000_filler1"</f>
        <v>GRS:P000_filler1</v>
      </c>
      <c r="E15" s="31" t="s">
        <v>23</v>
      </c>
      <c r="F15" s="28" t="s">
        <v>98</v>
      </c>
      <c r="G15" s="42"/>
      <c r="H15" s="42"/>
      <c r="I15" s="42"/>
      <c r="J15" s="42"/>
      <c r="K15" s="42"/>
      <c r="L15" s="42"/>
      <c r="M15" s="42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 t="s">
        <v>248</v>
      </c>
      <c r="AC15" s="50"/>
      <c r="AD15" s="50"/>
      <c r="AE15" s="50"/>
      <c r="AF15" s="50"/>
      <c r="AG15" s="50"/>
      <c r="AH15" s="50"/>
      <c r="AK15" s="12"/>
    </row>
    <row r="16" spans="1:42" ht="13.8" hidden="1" outlineLevel="1" thickBot="1" x14ac:dyDescent="0.3">
      <c r="A16" s="17" t="s">
        <v>98</v>
      </c>
      <c r="B16" s="17"/>
      <c r="C16" s="17"/>
      <c r="D16" s="18" t="str">
        <f>Server_P &amp; ":P000_filler2"</f>
        <v>GRS:P000_filler2</v>
      </c>
      <c r="E16" s="31" t="s">
        <v>24</v>
      </c>
      <c r="F16" s="28" t="s">
        <v>98</v>
      </c>
      <c r="G16" s="42"/>
      <c r="H16" s="42"/>
      <c r="I16" s="42"/>
      <c r="J16" s="42"/>
      <c r="K16" s="42"/>
      <c r="L16" s="42"/>
      <c r="M16" s="42"/>
      <c r="O16" s="50"/>
      <c r="P16" s="50"/>
      <c r="Q16" s="50" t="s">
        <v>287</v>
      </c>
      <c r="R16" s="98" t="s">
        <v>291</v>
      </c>
      <c r="S16" s="50"/>
      <c r="T16" s="50"/>
      <c r="U16" s="50"/>
      <c r="V16" s="50"/>
      <c r="W16" s="50"/>
      <c r="X16" s="50"/>
      <c r="Y16" s="50"/>
      <c r="Z16" s="50"/>
      <c r="AA16" s="50"/>
      <c r="AB16" s="50" t="s">
        <v>247</v>
      </c>
      <c r="AC16" s="50"/>
      <c r="AD16" s="50"/>
      <c r="AE16" s="50"/>
      <c r="AF16" s="50"/>
      <c r="AG16" s="50"/>
      <c r="AH16" s="50"/>
      <c r="AK16" s="12"/>
    </row>
    <row r="17" spans="1:37" ht="13.8" hidden="1" outlineLevel="1" thickBot="1" x14ac:dyDescent="0.3">
      <c r="A17" s="17" t="s">
        <v>98</v>
      </c>
      <c r="B17" s="17"/>
      <c r="C17" s="17"/>
      <c r="D17" s="18" t="str">
        <f>Server_P &amp; ":P000_filler3"</f>
        <v>GRS:P000_filler3</v>
      </c>
      <c r="E17" s="16" t="s">
        <v>25</v>
      </c>
      <c r="F17" s="28" t="s">
        <v>98</v>
      </c>
      <c r="G17" s="42"/>
      <c r="H17" s="42"/>
      <c r="I17" s="42"/>
      <c r="J17" s="42"/>
      <c r="K17" s="42"/>
      <c r="L17" s="42"/>
      <c r="M17" s="42"/>
      <c r="O17" s="50"/>
      <c r="P17" s="50"/>
      <c r="Q17" s="50" t="s">
        <v>288</v>
      </c>
      <c r="R17" s="98" t="s">
        <v>292</v>
      </c>
      <c r="S17" s="50"/>
      <c r="T17" s="52"/>
      <c r="U17" s="56"/>
      <c r="V17" s="50"/>
      <c r="W17" s="50"/>
      <c r="X17" s="50"/>
      <c r="Y17" s="50"/>
      <c r="Z17" s="50"/>
      <c r="AA17" s="50"/>
      <c r="AB17" s="50" t="s">
        <v>274</v>
      </c>
      <c r="AC17" s="50"/>
      <c r="AD17" s="50"/>
      <c r="AE17" s="50"/>
      <c r="AF17" s="50"/>
      <c r="AG17" s="50"/>
      <c r="AH17" s="50"/>
      <c r="AK17" s="12"/>
    </row>
    <row r="18" spans="1:37" ht="13.8" hidden="1" outlineLevel="1" thickBot="1" x14ac:dyDescent="0.3">
      <c r="A18" s="17" t="s">
        <v>87</v>
      </c>
      <c r="B18" s="17"/>
      <c r="C18" s="17"/>
      <c r="D18" s="18" t="str">
        <f>Server_P &amp; ":P060_Company Grouping"</f>
        <v>GRS:P060_Company Grouping</v>
      </c>
      <c r="E18" s="16" t="s">
        <v>20</v>
      </c>
      <c r="F18" s="28" t="str">
        <f>VLOOKUP("X",D46:F51,3,FALSE)</f>
        <v>CP BEL</v>
      </c>
      <c r="G18" s="42" t="e">
        <f ca="1">_xll.DBRA(CompanyGroupingExt_V,CompanyGrouping_P,"local currency")</f>
        <v>#NAME?</v>
      </c>
      <c r="H18" s="42"/>
      <c r="I18" s="42"/>
      <c r="J18" s="42"/>
      <c r="K18" s="42"/>
      <c r="L18" s="42"/>
      <c r="M18" s="42"/>
      <c r="N18" s="18"/>
      <c r="O18" s="50"/>
      <c r="P18" s="50"/>
      <c r="Q18" s="50" t="s">
        <v>289</v>
      </c>
      <c r="R18" s="98" t="s">
        <v>293</v>
      </c>
      <c r="S18" s="50"/>
      <c r="T18" s="52"/>
      <c r="U18" s="56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K18" s="12"/>
    </row>
    <row r="19" spans="1:37" ht="13.8" hidden="1" outlineLevel="1" thickBot="1" x14ac:dyDescent="0.3">
      <c r="F19" s="28" t="s">
        <v>87</v>
      </c>
      <c r="N19" s="18"/>
      <c r="O19" s="50"/>
      <c r="P19" s="50"/>
      <c r="Q19" s="50" t="s">
        <v>290</v>
      </c>
      <c r="R19" s="50" t="s">
        <v>294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K19" s="12"/>
    </row>
    <row r="20" spans="1:37" ht="13.8" hidden="1" outlineLevel="1" thickBot="1" x14ac:dyDescent="0.3">
      <c r="A20" s="17" t="s">
        <v>88</v>
      </c>
      <c r="B20" s="17"/>
      <c r="C20" s="17"/>
      <c r="D20" s="18" t="str">
        <f>Server_P &amp; ":P060_Dimension 1"</f>
        <v>GRS:P060_Dimension 1</v>
      </c>
      <c r="E20" s="16" t="s">
        <v>21</v>
      </c>
      <c r="F20" s="28" t="e">
        <f ca="1">_xll.SUBNM(CONCATENATE(Server_P&amp;":P060_"&amp;"Dimension 1"),"","TOTAL_P060_Dimension 1")</f>
        <v>#NAME?</v>
      </c>
      <c r="G20" s="42"/>
      <c r="H20" s="42"/>
      <c r="I20" s="42"/>
      <c r="J20" s="42"/>
      <c r="K20" s="42"/>
      <c r="L20" s="42"/>
      <c r="M20" s="42"/>
      <c r="O20" s="50"/>
      <c r="P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K20" s="12"/>
    </row>
    <row r="21" spans="1:37" ht="13.8" hidden="1" outlineLevel="1" thickBot="1" x14ac:dyDescent="0.3">
      <c r="A21" s="17" t="s">
        <v>89</v>
      </c>
      <c r="B21" s="17"/>
      <c r="C21" s="17"/>
      <c r="D21" s="18" t="str">
        <f>Server_P &amp; ":P060_Counter Dimension"</f>
        <v>GRS:P060_Counter Dimension</v>
      </c>
      <c r="E21" s="16" t="s">
        <v>26</v>
      </c>
      <c r="F21" s="28" t="s">
        <v>89</v>
      </c>
      <c r="G21" s="42"/>
      <c r="H21" s="42"/>
      <c r="I21" s="42"/>
      <c r="J21" s="42"/>
      <c r="K21" s="42"/>
      <c r="L21" s="42"/>
      <c r="M21" s="42"/>
      <c r="AI21" s="12"/>
      <c r="AK21" s="12"/>
    </row>
    <row r="22" spans="1:37" ht="13.8" hidden="1" outlineLevel="1" thickBot="1" x14ac:dyDescent="0.3">
      <c r="A22" s="17" t="s">
        <v>90</v>
      </c>
      <c r="B22" s="17"/>
      <c r="C22" s="17"/>
      <c r="D22" s="18" t="str">
        <f>Server_P &amp; ":P060_Dimension 2"</f>
        <v>GRS:P060_Dimension 2</v>
      </c>
      <c r="E22" s="16" t="s">
        <v>15</v>
      </c>
      <c r="F22" s="28" t="e">
        <f ca="1">_xll.SUBNM(CONCATENATE(Server_P&amp;":P060_"&amp;"Dimension 2"),"","TOTAL_P060_Dimension 2")</f>
        <v>#NAME?</v>
      </c>
      <c r="G22" s="42"/>
      <c r="H22" s="42"/>
      <c r="I22" s="42"/>
      <c r="J22" s="42"/>
      <c r="K22" s="42"/>
      <c r="L22" s="42"/>
      <c r="M22" s="42"/>
      <c r="T22" s="40"/>
      <c r="U22" s="44"/>
    </row>
    <row r="23" spans="1:37" ht="13.8" hidden="1" outlineLevel="1" thickBot="1" x14ac:dyDescent="0.3">
      <c r="A23" s="17" t="s">
        <v>91</v>
      </c>
      <c r="B23" s="17"/>
      <c r="C23" s="17"/>
      <c r="D23" s="18" t="str">
        <f>Server_P &amp; ":P060_Dimension 3"</f>
        <v>GRS:P060_Dimension 3</v>
      </c>
      <c r="E23" s="16" t="s">
        <v>16</v>
      </c>
      <c r="F23" s="28" t="s">
        <v>91</v>
      </c>
      <c r="G23" s="42"/>
      <c r="H23" s="42"/>
      <c r="I23" s="42"/>
      <c r="J23" s="42"/>
      <c r="K23" s="42"/>
      <c r="L23" s="42"/>
      <c r="M23" s="42"/>
    </row>
    <row r="24" spans="1:37" ht="13.8" hidden="1" outlineLevel="1" thickBot="1" x14ac:dyDescent="0.3">
      <c r="A24" s="17" t="s">
        <v>92</v>
      </c>
      <c r="B24" s="17"/>
      <c r="C24" s="17"/>
      <c r="D24" s="18" t="str">
        <f>Server_P &amp; ":P060_Dimension 4"</f>
        <v>GRS:P060_Dimension 4</v>
      </c>
      <c r="E24" s="16" t="s">
        <v>17</v>
      </c>
      <c r="F24" s="28" t="e">
        <f ca="1">_xll.SUBNM(CONCATENATE(Server_P&amp;":P060_"&amp;"Dimension 4"),"","TOTAL_P060_Dimension 4")</f>
        <v>#NAME?</v>
      </c>
      <c r="G24" s="42"/>
      <c r="H24" s="42"/>
      <c r="I24" s="42"/>
      <c r="J24" s="42"/>
      <c r="K24" s="42"/>
      <c r="L24" s="42"/>
      <c r="M24" s="42"/>
      <c r="Q24" s="50"/>
      <c r="R24" s="50"/>
    </row>
    <row r="25" spans="1:37" ht="13.8" hidden="1" outlineLevel="1" thickBot="1" x14ac:dyDescent="0.3">
      <c r="F25" s="102" t="str">
        <f>IF(CurrencyInput_P="LC",G18,"EUR")</f>
        <v>EUR</v>
      </c>
      <c r="Q25" s="50"/>
      <c r="R25" s="50"/>
    </row>
    <row r="26" spans="1:37" ht="13.8" hidden="1" outlineLevel="1" thickBot="1" x14ac:dyDescent="0.3">
      <c r="A26" s="17" t="s">
        <v>93</v>
      </c>
      <c r="B26" s="17"/>
      <c r="C26" s="17"/>
      <c r="D26" s="18" t="str">
        <f>Server_P &amp; ":P060_Transaction Currency"</f>
        <v>GRS:P060_Transaction Currency</v>
      </c>
      <c r="E26" s="16" t="s">
        <v>27</v>
      </c>
      <c r="F26" s="31" t="e">
        <f ca="1">_xll.SUBNM(CONCATENATE(Server_P&amp;":P060_"&amp;"Transaction Currency"),"","TOTAL_P060_Transaction Currency")</f>
        <v>#NAME?</v>
      </c>
      <c r="G26" s="42"/>
      <c r="H26" s="42"/>
      <c r="I26" s="42"/>
      <c r="J26" s="42"/>
      <c r="K26" s="42"/>
      <c r="L26" s="42"/>
      <c r="M26" s="42"/>
      <c r="Q26" s="50"/>
      <c r="R26" s="50"/>
    </row>
    <row r="27" spans="1:37" ht="13.8" hidden="1" outlineLevel="1" thickBot="1" x14ac:dyDescent="0.3">
      <c r="A27" s="17" t="s">
        <v>8</v>
      </c>
      <c r="B27" s="17"/>
      <c r="C27" s="17"/>
      <c r="D27" s="18" t="str">
        <f>Server_P &amp; ":P060_Consolidation Perspective"</f>
        <v>GRS:P060_Consolidation Perspective</v>
      </c>
      <c r="E27" s="16" t="s">
        <v>28</v>
      </c>
      <c r="F27" s="31" t="e">
        <f ca="1">_xll.SUBNM(CONCATENATE(Server_P&amp;":P060_"&amp;"Consolidation Perspective"),"","CT CP")</f>
        <v>#NAME?</v>
      </c>
      <c r="G27" s="42"/>
      <c r="H27" s="42"/>
      <c r="I27" s="42"/>
      <c r="J27" s="42"/>
      <c r="K27" s="42"/>
      <c r="L27" s="42"/>
      <c r="M27" s="42"/>
      <c r="Q27" s="50"/>
      <c r="R27" s="50"/>
    </row>
    <row r="28" spans="1:37" ht="13.8" hidden="1" outlineLevel="1" thickBot="1" x14ac:dyDescent="0.3">
      <c r="A28" s="17" t="s">
        <v>70</v>
      </c>
      <c r="B28" s="17"/>
      <c r="C28" s="17"/>
      <c r="D28" s="18" t="str">
        <f>Server_P &amp; ":P060_Closing Version"</f>
        <v>GRS:P060_Closing Version</v>
      </c>
      <c r="E28" s="16" t="s">
        <v>2</v>
      </c>
      <c r="F28" s="107" t="e">
        <f ca="1">_xll.SUBNM(CONCATENATE(Server_P&amp;":P060_"&amp;"Closing Version"),"","CL GHA1")</f>
        <v>#NAME?</v>
      </c>
      <c r="G28" s="42"/>
      <c r="H28" s="42"/>
      <c r="I28" s="42"/>
      <c r="J28" s="42"/>
      <c r="K28" s="42"/>
      <c r="L28" s="42"/>
      <c r="M28" s="42"/>
      <c r="N28" s="18" t="str">
        <f>attribname_p</f>
        <v>EN_LONG</v>
      </c>
      <c r="P28" s="144"/>
      <c r="Q28" s="144"/>
      <c r="R28" s="144"/>
      <c r="S28" s="144"/>
      <c r="T28" s="144"/>
    </row>
    <row r="29" spans="1:37" ht="13.8" hidden="1" outlineLevel="1" thickBot="1" x14ac:dyDescent="0.3">
      <c r="A29" s="17" t="s">
        <v>71</v>
      </c>
      <c r="B29" s="17"/>
      <c r="C29" s="17"/>
      <c r="D29" s="18" t="str">
        <f>Server_P &amp; ":P060_Contribution Version"</f>
        <v>GRS:P060_Contribution Version</v>
      </c>
      <c r="E29" s="16" t="s">
        <v>3</v>
      </c>
      <c r="F29" s="107" t="e">
        <f ca="1">_xll.SUBNM(CONCATENATE(Server_P&amp;":P060_"&amp;"Contribution Version"),"","CO XLIC")</f>
        <v>#NAME?</v>
      </c>
      <c r="G29" s="42"/>
      <c r="H29" s="42"/>
      <c r="I29" s="42"/>
      <c r="J29" s="42"/>
      <c r="K29" s="42"/>
      <c r="L29" s="42"/>
      <c r="M29" s="42"/>
    </row>
    <row r="30" spans="1:37" ht="13.8" hidden="1" outlineLevel="1" thickBot="1" x14ac:dyDescent="0.3">
      <c r="A30" s="17" t="s">
        <v>94</v>
      </c>
      <c r="B30" s="17"/>
      <c r="C30" s="17"/>
      <c r="D30" s="18" t="str">
        <f>Server_P &amp; ":P060_Account"</f>
        <v>GRS:P060_Account</v>
      </c>
      <c r="E30" s="16" t="s">
        <v>0</v>
      </c>
      <c r="F30" s="28" t="e">
        <f ca="1">_xll.SUBNM(CONCATENATE(Server_P&amp;":P060_"&amp;"Account"),"","TOTAL_P060_Account")</f>
        <v>#NAME?</v>
      </c>
      <c r="G30" s="42"/>
      <c r="H30" s="42"/>
      <c r="I30" s="42"/>
      <c r="J30" s="42"/>
      <c r="K30" s="42"/>
      <c r="L30" s="42"/>
      <c r="M30" s="42"/>
    </row>
    <row r="31" spans="1:37" ht="13.8" hidden="1" outlineLevel="1" thickBot="1" x14ac:dyDescent="0.3">
      <c r="A31" s="17" t="s">
        <v>51</v>
      </c>
      <c r="B31" s="17"/>
      <c r="C31" s="17"/>
      <c r="D31" s="18" t="str">
        <f>Server_P &amp; ":P060_Actuality"</f>
        <v>GRS:P060_Actuality</v>
      </c>
      <c r="E31" s="16" t="s">
        <v>4</v>
      </c>
      <c r="F31" s="28" t="str">
        <f>(IF(QESRun_P="AC","AC",IF(QESRun_P="APC",CONCATENATE(QESRun_P&amp;" total"),IF(LEFT(QESRun_P,3)="ROF",CONCATENATE(QESRun_P&amp;" "&amp;Quarter_P&amp;" "&amp;"Input"),CONCATENATE(QESRun_P&amp;" "&amp;Quarter_P&amp;" "&amp;Version_P&amp;" "&amp;"Input")))))</f>
        <v>QES16 Q4 E2 Input</v>
      </c>
      <c r="G31" s="42"/>
      <c r="H31" s="42"/>
      <c r="I31" s="42"/>
      <c r="J31" s="42"/>
      <c r="K31" s="42"/>
      <c r="L31" s="42"/>
      <c r="M31" s="42"/>
      <c r="N31" s="28"/>
    </row>
    <row r="32" spans="1:37" ht="13.8" hidden="1" outlineLevel="1" thickBot="1" x14ac:dyDescent="0.3">
      <c r="A32" s="4" t="s">
        <v>244</v>
      </c>
      <c r="B32" s="17"/>
      <c r="C32" s="17"/>
      <c r="D32" s="18" t="str">
        <f>Server_P &amp; ":P060_Company"</f>
        <v>GRS:P060_Company</v>
      </c>
      <c r="E32" s="16" t="s">
        <v>5</v>
      </c>
      <c r="F32" s="28" t="s">
        <v>244</v>
      </c>
      <c r="G32" s="42"/>
      <c r="H32" s="42"/>
      <c r="I32" s="42"/>
      <c r="J32" s="42"/>
      <c r="K32" s="42"/>
      <c r="L32" s="42"/>
      <c r="M32" s="42"/>
    </row>
    <row r="33" spans="1:34" ht="13.8" hidden="1" outlineLevel="1" thickBot="1" x14ac:dyDescent="0.3"/>
    <row r="34" spans="1:34" ht="13.8" hidden="1" outlineLevel="1" thickBot="1" x14ac:dyDescent="0.3">
      <c r="A34" s="17" t="s">
        <v>95</v>
      </c>
      <c r="B34" s="17"/>
      <c r="C34" s="17"/>
      <c r="D34" s="18" t="str">
        <f>Server_P &amp; ":P060_Origin Company"</f>
        <v>GRS:P060_Origin Company</v>
      </c>
      <c r="E34" s="16" t="s">
        <v>29</v>
      </c>
      <c r="F34" s="28" t="e">
        <f ca="1">_xll.SUBNM(CONCATENATE(Server_P&amp;":P060_"&amp;"Origin Company"),"","TOTAL_P060_Origin Company")</f>
        <v>#NAME?</v>
      </c>
      <c r="G34" s="42"/>
      <c r="H34" s="42"/>
      <c r="I34" s="42"/>
      <c r="J34" s="42"/>
      <c r="K34" s="42"/>
      <c r="L34" s="42"/>
      <c r="M34" s="42"/>
    </row>
    <row r="35" spans="1:34" ht="13.8" hidden="1" outlineLevel="1" thickBot="1" x14ac:dyDescent="0.3">
      <c r="A35" s="17" t="s">
        <v>96</v>
      </c>
      <c r="B35" s="17"/>
      <c r="C35" s="17"/>
      <c r="D35" s="18" t="str">
        <f>Server_P &amp; ":P060_Counter Company"</f>
        <v>GRS:P060_Counter Company</v>
      </c>
      <c r="E35" s="16" t="s">
        <v>30</v>
      </c>
      <c r="F35" s="28" t="e">
        <f ca="1">_xll.SUBNM(CONCATENATE(Server_P&amp;":P060_"&amp;"Counter Company"),"","TOTAL_P060_Counter Company")</f>
        <v>#NAME?</v>
      </c>
      <c r="G35" s="42"/>
      <c r="H35" s="42"/>
      <c r="I35" s="42"/>
      <c r="J35" s="42"/>
      <c r="K35" s="42"/>
      <c r="L35" s="42"/>
      <c r="M35" s="42"/>
    </row>
    <row r="36" spans="1:34" ht="13.8" hidden="1" outlineLevel="1" thickBot="1" x14ac:dyDescent="0.3">
      <c r="A36" s="17" t="s">
        <v>97</v>
      </c>
      <c r="B36" s="17"/>
      <c r="C36" s="17"/>
      <c r="D36" s="18" t="str">
        <f>Server_P &amp; ":P060_Journal Number"</f>
        <v>GRS:P060_Journal Number</v>
      </c>
      <c r="E36" s="16" t="s">
        <v>31</v>
      </c>
      <c r="F36" s="28" t="e">
        <f ca="1">_xll.SUBNM(CONCATENATE(Server_P&amp;":P060_"&amp;"Journal Number"),"","TOTAL_P060_Journal Number")</f>
        <v>#NAME?</v>
      </c>
      <c r="G36" s="42"/>
      <c r="H36" s="42"/>
      <c r="I36" s="42"/>
      <c r="J36" s="42"/>
      <c r="K36" s="42"/>
      <c r="L36" s="42"/>
      <c r="M36" s="42"/>
    </row>
    <row r="37" spans="1:34" ht="13.8" hidden="1" outlineLevel="1" thickBot="1" x14ac:dyDescent="0.3">
      <c r="A37" s="17" t="str">
        <f>FAP_Measure(PeriodScope_I)</f>
        <v>Monthly</v>
      </c>
      <c r="B37" s="17"/>
      <c r="C37" s="17"/>
      <c r="D37" s="18" t="str">
        <f>Server_P &amp; ":P060_Measures"</f>
        <v>GRS:P060_Measures</v>
      </c>
      <c r="E37" s="16" t="s">
        <v>22</v>
      </c>
      <c r="F37" s="29" t="e">
        <f ca="1">_xll.SUBNM(CONCATENATE(Server_P&amp;":P060_"&amp;"Measures"),"","Monthly")</f>
        <v>#NAME?</v>
      </c>
      <c r="G37" s="43"/>
      <c r="H37" s="43"/>
      <c r="I37" s="43"/>
      <c r="J37" s="43"/>
      <c r="K37" s="43"/>
      <c r="L37" s="43"/>
      <c r="M37" s="43"/>
    </row>
    <row r="38" spans="1:34" hidden="1" outlineLevel="1" x14ac:dyDescent="0.25"/>
    <row r="39" spans="1:34" s="24" customFormat="1" hidden="1" outlineLevel="1" x14ac:dyDescent="0.25">
      <c r="A39" s="17"/>
      <c r="B39" s="17"/>
      <c r="C39" s="17"/>
      <c r="D39" s="18"/>
      <c r="E39" s="16" t="s">
        <v>278</v>
      </c>
      <c r="F39" s="18" t="s">
        <v>277</v>
      </c>
      <c r="G39" s="16"/>
      <c r="H39" s="16"/>
      <c r="I39" s="16"/>
      <c r="J39" s="16"/>
      <c r="K39" s="16"/>
      <c r="L39" s="16"/>
      <c r="M39" s="16"/>
      <c r="AA39" s="90"/>
      <c r="AB39" s="90"/>
      <c r="AC39" s="90"/>
      <c r="AD39" s="90"/>
      <c r="AE39" s="90"/>
      <c r="AF39" s="90"/>
      <c r="AG39" s="90"/>
      <c r="AH39" s="90"/>
    </row>
    <row r="40" spans="1:34" s="24" customFormat="1" hidden="1" outlineLevel="1" x14ac:dyDescent="0.25">
      <c r="A40" s="26"/>
      <c r="B40" s="26"/>
      <c r="C40" s="26"/>
      <c r="D40" s="18"/>
      <c r="E40" s="16"/>
      <c r="F40" s="16"/>
      <c r="G40" s="16"/>
      <c r="H40" s="16"/>
      <c r="I40" s="16"/>
      <c r="J40" s="16"/>
      <c r="K40" s="16"/>
      <c r="L40" s="16"/>
      <c r="M40" s="16"/>
      <c r="AA40" s="90"/>
      <c r="AB40" s="90"/>
      <c r="AC40" s="90"/>
      <c r="AD40" s="90"/>
      <c r="AE40" s="90"/>
      <c r="AF40" s="90"/>
      <c r="AG40" s="90"/>
      <c r="AH40" s="90"/>
    </row>
    <row r="41" spans="1:34" s="24" customFormat="1" ht="23.25" customHeight="1" collapsed="1" x14ac:dyDescent="0.35">
      <c r="A41" s="26"/>
      <c r="B41" s="26"/>
      <c r="C41" s="26"/>
      <c r="D41" s="106" t="s">
        <v>324</v>
      </c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4" s="24" customFormat="1" ht="13.8" thickBot="1" x14ac:dyDescent="0.3">
      <c r="A42" s="26"/>
      <c r="B42" s="26"/>
      <c r="C42" s="26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4" s="40" customFormat="1" ht="15" customHeight="1" thickBot="1" x14ac:dyDescent="0.3">
      <c r="A43" s="26"/>
      <c r="B43" s="26"/>
      <c r="C43" s="26"/>
      <c r="D43" s="72"/>
      <c r="E43" s="75" t="s">
        <v>240</v>
      </c>
      <c r="F43" s="117" t="s">
        <v>239</v>
      </c>
      <c r="G43" s="73"/>
      <c r="H43" s="73"/>
      <c r="I43" s="73"/>
      <c r="J43" s="73"/>
      <c r="K43" s="73"/>
      <c r="L43" s="73"/>
      <c r="M43" s="73"/>
      <c r="N43" s="74"/>
      <c r="O43" s="74"/>
      <c r="P43" s="96"/>
      <c r="Q43" s="9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1:34" ht="15" customHeight="1" thickBot="1" x14ac:dyDescent="0.3">
      <c r="A44" s="17" t="s">
        <v>69</v>
      </c>
      <c r="B44" s="17"/>
      <c r="C44" s="17"/>
      <c r="D44" s="89" t="str">
        <f>Server_P &amp; ":P060_Currency"</f>
        <v>GRS:P060_Currency</v>
      </c>
      <c r="E44" s="76" t="s">
        <v>1</v>
      </c>
      <c r="F44" s="91" t="s">
        <v>69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94"/>
      <c r="R44" s="95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</row>
    <row r="45" spans="1:34" s="24" customFormat="1" ht="15" customHeight="1" thickBot="1" x14ac:dyDescent="0.3">
      <c r="A45" s="17" t="s">
        <v>44</v>
      </c>
      <c r="B45" s="17"/>
      <c r="C45" s="17"/>
      <c r="D45" s="72"/>
      <c r="E45" s="76" t="s">
        <v>7</v>
      </c>
      <c r="F45" s="92" t="s">
        <v>45</v>
      </c>
      <c r="G45" s="73"/>
      <c r="H45" s="73"/>
      <c r="I45" s="73"/>
      <c r="J45" s="73"/>
      <c r="K45" s="73"/>
      <c r="L45" s="73"/>
      <c r="M45" s="73"/>
      <c r="N45" s="77"/>
      <c r="O45" s="74"/>
      <c r="P45" s="74"/>
      <c r="Q45" s="94"/>
      <c r="R45" s="9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4" x14ac:dyDescent="0.25">
      <c r="D46" s="72"/>
      <c r="E46" s="73"/>
      <c r="F46" s="78"/>
      <c r="G46" s="78"/>
      <c r="H46" s="78"/>
      <c r="I46" s="78"/>
      <c r="J46" s="78"/>
      <c r="K46" s="78"/>
      <c r="L46" s="78"/>
      <c r="M46" s="78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</row>
    <row r="47" spans="1:34" ht="13.8" hidden="1" thickBot="1" x14ac:dyDescent="0.3">
      <c r="D47" s="72"/>
      <c r="E47" s="73"/>
      <c r="F47" s="79"/>
      <c r="G47" s="79"/>
      <c r="H47" s="79"/>
      <c r="I47" s="79"/>
      <c r="J47" s="79"/>
      <c r="K47" s="79"/>
      <c r="L47" s="79"/>
      <c r="M47" s="79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</row>
    <row r="48" spans="1:34" ht="15" hidden="1" customHeight="1" thickBot="1" x14ac:dyDescent="0.4">
      <c r="D48" s="88" t="str">
        <f>IF($F$43="Company","X"," ")</f>
        <v xml:space="preserve"> </v>
      </c>
      <c r="E48" s="85" t="s">
        <v>305</v>
      </c>
      <c r="F48" s="86" t="e">
        <f ca="1">_xll.SUBNM(CONCATENATE(Server_P&amp;":P060_"&amp;"company"),"","0001BE","Long Name")</f>
        <v>#NAME?</v>
      </c>
      <c r="G48" s="80" t="e">
        <f ca="1">_xll.DBRA(CompanyGroupingExt_V,L48,"local currency")</f>
        <v>#NAME?</v>
      </c>
      <c r="H48" s="81" t="str">
        <f>IF($D48="x",$F$19,CompanyGrouping_P)</f>
        <v>CP BEL</v>
      </c>
      <c r="I48" s="82" t="s">
        <v>8</v>
      </c>
      <c r="J48" s="82" t="s">
        <v>83</v>
      </c>
      <c r="K48" s="82" t="s">
        <v>79</v>
      </c>
      <c r="L48" s="83" t="str">
        <f>+Company_P</f>
        <v>Total_P060_Company</v>
      </c>
      <c r="M48" s="114" t="e">
        <f ca="1">F48</f>
        <v>#NAME?</v>
      </c>
      <c r="N48" s="84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1:34" ht="15" hidden="1" customHeight="1" thickBot="1" x14ac:dyDescent="0.3">
      <c r="D49" s="115" t="str">
        <f>IF($F$43="subgroup","X"," ")</f>
        <v xml:space="preserve"> </v>
      </c>
      <c r="E49" s="85" t="s">
        <v>241</v>
      </c>
      <c r="F49" s="87" t="s">
        <v>224</v>
      </c>
      <c r="G49" s="80" t="e">
        <f ca="1">_xll.DBRA(CompanyGroupingExt_V,M49,"local currency")</f>
        <v>#NAME?</v>
      </c>
      <c r="H49" s="80" t="str">
        <f>INDEX(SubgroupSelection,$V$1,2)</f>
        <v>CL CSOB SR</v>
      </c>
      <c r="I49" s="82" t="s">
        <v>9</v>
      </c>
      <c r="J49" s="82" t="s">
        <v>83</v>
      </c>
      <c r="K49" s="82" t="s">
        <v>71</v>
      </c>
      <c r="L49" s="83" t="str">
        <f>+Company_P</f>
        <v>Total_P060_Company</v>
      </c>
      <c r="M49" s="82" t="str">
        <f>+CompanyGrouping_P</f>
        <v>CP BEL</v>
      </c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</row>
    <row r="50" spans="1:34" ht="15" hidden="1" customHeight="1" thickBot="1" x14ac:dyDescent="0.3">
      <c r="D50" s="115" t="str">
        <f>IF($F$43="BU","X"," ")</f>
        <v>X</v>
      </c>
      <c r="E50" s="85" t="s">
        <v>242</v>
      </c>
      <c r="F50" s="87" t="s">
        <v>215</v>
      </c>
      <c r="G50" s="80" t="e">
        <f ca="1">_xll.DBRA(CompanyGroupingExt_V,M50,"local currency")</f>
        <v>#NAME?</v>
      </c>
      <c r="H50" s="80" t="str">
        <f>INDEX(BuSelection,$S$1,2)</f>
        <v>BA FIN</v>
      </c>
      <c r="I50" s="82" t="s">
        <v>8</v>
      </c>
      <c r="J50" s="82" t="s">
        <v>70</v>
      </c>
      <c r="K50" s="82" t="s">
        <v>71</v>
      </c>
      <c r="L50" s="83" t="str">
        <f>+Company_P</f>
        <v>Total_P060_Company</v>
      </c>
      <c r="M50" s="82" t="str">
        <f>+CompanyGrouping_P</f>
        <v>CP BEL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</row>
    <row r="51" spans="1:34" ht="15" hidden="1" customHeight="1" thickBot="1" x14ac:dyDescent="0.3">
      <c r="D51" s="115" t="str">
        <f>IF($F$43="KBC","X"," ")</f>
        <v xml:space="preserve"> </v>
      </c>
      <c r="E51" s="85" t="s">
        <v>204</v>
      </c>
      <c r="F51" s="83" t="s">
        <v>306</v>
      </c>
      <c r="G51" s="80" t="str">
        <f>"EUR"</f>
        <v>EUR</v>
      </c>
      <c r="H51" s="80" t="str">
        <f>INDEX(BuSelection,$S$1,2)</f>
        <v>BA FIN</v>
      </c>
      <c r="I51" s="82" t="s">
        <v>8</v>
      </c>
      <c r="J51" s="82" t="s">
        <v>70</v>
      </c>
      <c r="K51" s="82" t="s">
        <v>71</v>
      </c>
      <c r="L51" s="83" t="s">
        <v>204</v>
      </c>
      <c r="M51" s="82" t="str">
        <f>+CompanyGrouping_P</f>
        <v>CP BEL</v>
      </c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</row>
    <row r="52" spans="1:34" hidden="1" x14ac:dyDescent="0.25">
      <c r="D52" s="72"/>
      <c r="E52" s="73"/>
      <c r="F52" s="78"/>
      <c r="G52" s="78"/>
      <c r="H52" s="78"/>
      <c r="I52" s="78"/>
      <c r="J52" s="78"/>
      <c r="K52" s="78"/>
      <c r="L52" s="78"/>
      <c r="M52" s="78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3" spans="1:34" ht="15" hidden="1" customHeight="1" x14ac:dyDescent="0.3">
      <c r="D53" s="72"/>
      <c r="E53" s="93" t="s">
        <v>312</v>
      </c>
      <c r="F53" s="103" t="s">
        <v>4</v>
      </c>
      <c r="G53" s="104"/>
      <c r="H53" s="104"/>
      <c r="I53" s="104"/>
      <c r="J53" s="104"/>
      <c r="K53" s="104"/>
      <c r="L53" s="104"/>
      <c r="M53" s="104"/>
      <c r="N53" s="103"/>
      <c r="O53" s="73" t="s">
        <v>308</v>
      </c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</row>
    <row r="54" spans="1:34" ht="9" hidden="1" customHeight="1" thickBot="1" x14ac:dyDescent="0.3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</row>
    <row r="55" spans="1:34" ht="15" hidden="1" customHeight="1" thickBot="1" x14ac:dyDescent="0.35">
      <c r="D55" s="72"/>
      <c r="E55" s="73"/>
      <c r="F55" s="128" t="s">
        <v>313</v>
      </c>
      <c r="G55" s="129"/>
      <c r="H55" s="129"/>
      <c r="I55" s="129"/>
      <c r="J55" s="129"/>
      <c r="K55" s="129"/>
      <c r="L55" s="129"/>
      <c r="M55" s="129"/>
      <c r="N55" s="130" t="s">
        <v>314</v>
      </c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</row>
    <row r="56" spans="1:34" ht="10.5" hidden="1" customHeight="1" thickBot="1" x14ac:dyDescent="0.3"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:34" ht="15" hidden="1" customHeight="1" thickBot="1" x14ac:dyDescent="0.3">
      <c r="D57" s="72"/>
      <c r="E57" s="99" t="s">
        <v>323</v>
      </c>
      <c r="F57" s="121" t="s">
        <v>297</v>
      </c>
      <c r="G57" s="122"/>
      <c r="H57" s="122"/>
      <c r="I57" s="122"/>
      <c r="J57" s="122"/>
      <c r="K57" s="122"/>
      <c r="L57" s="122"/>
      <c r="M57" s="122"/>
      <c r="N57" s="121" t="s">
        <v>297</v>
      </c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</row>
    <row r="58" spans="1:34" ht="15" hidden="1" customHeight="1" outlineLevel="1" thickBot="1" x14ac:dyDescent="0.3">
      <c r="D58" s="72"/>
      <c r="E58" s="140" t="s">
        <v>310</v>
      </c>
      <c r="F58" s="141" t="str">
        <f>IF(QESRunInput_P="AC Clone",LEFT(QESRunInput_P,2),QESRunInput_P)</f>
        <v>QES16</v>
      </c>
      <c r="G58" s="141"/>
      <c r="H58" s="141"/>
      <c r="I58" s="141"/>
      <c r="J58" s="141"/>
      <c r="K58" s="141"/>
      <c r="L58" s="141"/>
      <c r="M58" s="141"/>
      <c r="N58" s="142" t="str">
        <f>IF(QESRunPrevInput_P="AC Clone",LEFT(QESRunPrevInput_P,2),QESRunPrevInput_P)</f>
        <v>QES16</v>
      </c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</row>
    <row r="59" spans="1:34" s="120" customFormat="1" ht="9.9" hidden="1" customHeight="1" collapsed="1" thickBot="1" x14ac:dyDescent="0.3">
      <c r="A59" s="26"/>
      <c r="B59" s="26"/>
      <c r="C59" s="26"/>
      <c r="D59" s="119"/>
      <c r="E59" s="126"/>
      <c r="F59" s="118"/>
      <c r="G59" s="118"/>
      <c r="H59" s="118"/>
      <c r="I59" s="118"/>
      <c r="J59" s="118"/>
      <c r="K59" s="118"/>
      <c r="L59" s="118"/>
      <c r="M59" s="118"/>
      <c r="N59" s="12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</row>
    <row r="60" spans="1:34" ht="15" hidden="1" customHeight="1" thickBot="1" x14ac:dyDescent="0.3">
      <c r="D60" s="72"/>
      <c r="E60" s="99" t="s">
        <v>286</v>
      </c>
      <c r="F60" s="121" t="s">
        <v>290</v>
      </c>
      <c r="G60" s="122"/>
      <c r="H60" s="122"/>
      <c r="I60" s="122"/>
      <c r="J60" s="122"/>
      <c r="K60" s="122"/>
      <c r="L60" s="122"/>
      <c r="M60" s="122"/>
      <c r="N60" s="121" t="s">
        <v>290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</row>
    <row r="61" spans="1:34" ht="9.9" hidden="1" customHeight="1" thickBot="1" x14ac:dyDescent="0.3">
      <c r="D61" s="72"/>
      <c r="E61" s="126"/>
      <c r="F61" s="125"/>
      <c r="G61" s="123"/>
      <c r="H61" s="123"/>
      <c r="I61" s="123"/>
      <c r="J61" s="123"/>
      <c r="K61" s="123"/>
      <c r="L61" s="123"/>
      <c r="M61" s="123"/>
      <c r="N61" s="124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</row>
    <row r="62" spans="1:34" ht="15" hidden="1" customHeight="1" thickBot="1" x14ac:dyDescent="0.3">
      <c r="D62" s="72"/>
      <c r="E62" s="99" t="s">
        <v>298</v>
      </c>
      <c r="F62" s="121" t="s">
        <v>296</v>
      </c>
      <c r="G62" s="122"/>
      <c r="H62" s="122"/>
      <c r="I62" s="122"/>
      <c r="J62" s="122"/>
      <c r="K62" s="122"/>
      <c r="L62" s="122"/>
      <c r="M62" s="122"/>
      <c r="N62" s="121" t="s">
        <v>295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:34" ht="15" hidden="1" customHeight="1" thickBot="1" x14ac:dyDescent="0.3">
      <c r="D63" s="72"/>
      <c r="E63" s="73"/>
      <c r="F63" s="78"/>
      <c r="G63" s="78"/>
      <c r="H63" s="78"/>
      <c r="I63" s="78"/>
      <c r="J63" s="78"/>
      <c r="K63" s="78"/>
      <c r="L63" s="78"/>
      <c r="M63" s="78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:34" ht="15" hidden="1" customHeight="1" thickBot="1" x14ac:dyDescent="0.3">
      <c r="D64" s="72"/>
      <c r="E64" s="73"/>
      <c r="F64" s="139" t="str">
        <f>VLOOKUP(QESRunInput_P,ServerCube,2)</f>
        <v>GRS:P060_GRS_Clone</v>
      </c>
      <c r="G64" s="137"/>
      <c r="H64" s="137"/>
      <c r="I64" s="137"/>
      <c r="J64" s="137"/>
      <c r="K64" s="137"/>
      <c r="L64" s="137"/>
      <c r="M64" s="137"/>
      <c r="N64" s="138" t="str">
        <f>VLOOKUP(QESRunPrevInput_P,ServerCube,2)</f>
        <v>GRS:P060_GRS_Clone</v>
      </c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4:34" ht="27" hidden="1" customHeight="1" x14ac:dyDescent="0.25">
      <c r="D65" s="72"/>
      <c r="E65" s="131"/>
      <c r="F65" s="131"/>
      <c r="G65" s="78"/>
      <c r="H65" s="78"/>
      <c r="I65" s="78"/>
      <c r="J65" s="78"/>
      <c r="K65" s="78"/>
      <c r="L65" s="78"/>
      <c r="M65" s="78"/>
      <c r="N65" s="78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</row>
    <row r="66" spans="4:34" ht="27" customHeight="1" x14ac:dyDescent="0.25">
      <c r="D66" s="72"/>
      <c r="E66" s="131"/>
      <c r="F66" s="131"/>
      <c r="G66" s="78"/>
      <c r="H66" s="78"/>
      <c r="I66" s="78"/>
      <c r="J66" s="78"/>
      <c r="K66" s="78"/>
      <c r="L66" s="78"/>
      <c r="M66" s="78"/>
      <c r="N66" s="78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</row>
    <row r="67" spans="4:34" ht="15" customHeight="1" x14ac:dyDescent="0.3">
      <c r="D67" s="72"/>
      <c r="E67" s="93" t="s">
        <v>315</v>
      </c>
      <c r="F67" s="103"/>
      <c r="G67" s="104"/>
      <c r="H67" s="104"/>
      <c r="I67" s="104"/>
      <c r="J67" s="104"/>
      <c r="K67" s="104"/>
      <c r="L67" s="104"/>
      <c r="M67" s="78"/>
      <c r="N67" s="78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</row>
    <row r="68" spans="4:34" ht="7.5" customHeight="1" thickBot="1" x14ac:dyDescent="0.3">
      <c r="D68" s="72"/>
      <c r="E68" s="72"/>
      <c r="F68" s="72"/>
      <c r="G68" s="78"/>
      <c r="H68" s="78"/>
      <c r="I68" s="78"/>
      <c r="J68" s="78"/>
      <c r="K68" s="78"/>
      <c r="L68" s="78"/>
      <c r="M68" s="78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</row>
    <row r="69" spans="4:34" ht="15" customHeight="1" thickBot="1" x14ac:dyDescent="0.3">
      <c r="D69" s="108"/>
      <c r="E69" s="99" t="s">
        <v>307</v>
      </c>
      <c r="F69" s="116">
        <v>201706</v>
      </c>
      <c r="G69" s="101"/>
      <c r="H69" s="101"/>
      <c r="I69" s="101"/>
      <c r="J69" s="101"/>
      <c r="K69" s="101"/>
      <c r="L69" s="101"/>
      <c r="M69" s="101"/>
      <c r="N69" s="100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</row>
    <row r="70" spans="4:34" x14ac:dyDescent="0.25">
      <c r="D70" s="110"/>
      <c r="E70" s="100"/>
      <c r="F70" s="109" t="s">
        <v>448</v>
      </c>
      <c r="G70" s="101"/>
      <c r="H70" s="101"/>
      <c r="I70" s="101"/>
      <c r="J70" s="101"/>
      <c r="K70" s="101"/>
      <c r="L70" s="101"/>
      <c r="M70" s="101"/>
      <c r="N70" s="109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</row>
    <row r="71" spans="4:34" x14ac:dyDescent="0.25">
      <c r="D71" s="111"/>
      <c r="E71" s="112"/>
      <c r="F71" s="113"/>
      <c r="G71" s="113"/>
      <c r="H71" s="113"/>
      <c r="I71" s="113"/>
      <c r="J71" s="113"/>
      <c r="K71" s="113"/>
      <c r="L71" s="113"/>
      <c r="M71" s="113"/>
      <c r="N71" s="112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</row>
    <row r="72" spans="4:34" ht="15.6" x14ac:dyDescent="0.3">
      <c r="D72" s="72"/>
      <c r="E72" s="143"/>
      <c r="F72" s="78"/>
      <c r="G72" s="78"/>
      <c r="H72" s="78"/>
      <c r="I72" s="78"/>
      <c r="J72" s="78"/>
      <c r="K72" s="78"/>
      <c r="L72" s="78"/>
      <c r="M72" s="78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</row>
    <row r="73" spans="4:34" x14ac:dyDescent="0.25">
      <c r="D73" s="72"/>
      <c r="E73" s="73"/>
      <c r="F73" s="78"/>
      <c r="G73" s="78"/>
      <c r="H73" s="78"/>
      <c r="I73" s="78"/>
      <c r="J73" s="78"/>
      <c r="K73" s="78"/>
      <c r="L73" s="78"/>
      <c r="M73" s="78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</row>
    <row r="74" spans="4:34" x14ac:dyDescent="0.25">
      <c r="D74" s="72"/>
      <c r="E74" s="73"/>
      <c r="F74" s="78"/>
      <c r="G74" s="78"/>
      <c r="H74" s="78"/>
      <c r="I74" s="78"/>
      <c r="J74" s="78"/>
      <c r="K74" s="78"/>
      <c r="L74" s="78"/>
      <c r="M74" s="78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</row>
    <row r="75" spans="4:34" x14ac:dyDescent="0.25">
      <c r="D75" s="72"/>
      <c r="E75" s="73"/>
      <c r="F75" s="78"/>
      <c r="G75" s="78"/>
      <c r="H75" s="78"/>
      <c r="I75" s="78"/>
      <c r="J75" s="78"/>
      <c r="K75" s="78"/>
      <c r="L75" s="78"/>
      <c r="M75" s="78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</row>
    <row r="76" spans="4:34" x14ac:dyDescent="0.25">
      <c r="D76" s="72"/>
      <c r="E76" s="73"/>
      <c r="F76" s="78"/>
      <c r="G76" s="78"/>
      <c r="H76" s="78"/>
      <c r="I76" s="78"/>
      <c r="J76" s="78"/>
      <c r="K76" s="78"/>
      <c r="L76" s="78"/>
      <c r="M76" s="78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</row>
    <row r="77" spans="4:34" x14ac:dyDescent="0.25">
      <c r="D77" s="72"/>
      <c r="E77" s="73"/>
      <c r="F77" s="78"/>
      <c r="G77" s="78"/>
      <c r="H77" s="78"/>
      <c r="I77" s="78"/>
      <c r="J77" s="78"/>
      <c r="K77" s="78"/>
      <c r="L77" s="78"/>
      <c r="M77" s="78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</row>
    <row r="78" spans="4:34" x14ac:dyDescent="0.25">
      <c r="D78" s="72"/>
      <c r="E78" s="73"/>
      <c r="F78" s="78"/>
      <c r="G78" s="78"/>
      <c r="H78" s="78"/>
      <c r="I78" s="78"/>
      <c r="J78" s="78"/>
      <c r="K78" s="78"/>
      <c r="L78" s="78"/>
      <c r="M78" s="78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</row>
    <row r="79" spans="4:34" x14ac:dyDescent="0.25">
      <c r="D79" s="72"/>
      <c r="E79" s="73"/>
      <c r="F79" s="78"/>
      <c r="G79" s="78"/>
      <c r="H79" s="78"/>
      <c r="I79" s="78"/>
      <c r="J79" s="78"/>
      <c r="K79" s="78"/>
      <c r="L79" s="78"/>
      <c r="M79" s="78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</row>
    <row r="80" spans="4:34" x14ac:dyDescent="0.25">
      <c r="D80" s="72"/>
      <c r="E80" s="73"/>
      <c r="F80" s="78"/>
      <c r="G80" s="78"/>
      <c r="H80" s="78"/>
      <c r="I80" s="78"/>
      <c r="J80" s="78"/>
      <c r="K80" s="78"/>
      <c r="L80" s="78"/>
      <c r="M80" s="78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</row>
    <row r="81" spans="4:34" x14ac:dyDescent="0.25">
      <c r="D81" s="72"/>
      <c r="E81" s="73"/>
      <c r="F81" s="78"/>
      <c r="G81" s="78"/>
      <c r="H81" s="78"/>
      <c r="I81" s="78"/>
      <c r="J81" s="78"/>
      <c r="K81" s="78"/>
      <c r="L81" s="78"/>
      <c r="M81" s="78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</row>
    <row r="82" spans="4:34" x14ac:dyDescent="0.25">
      <c r="D82" s="72"/>
      <c r="E82" s="73"/>
      <c r="F82" s="78"/>
      <c r="G82" s="78"/>
      <c r="H82" s="78"/>
      <c r="I82" s="78"/>
      <c r="J82" s="78"/>
      <c r="K82" s="78"/>
      <c r="L82" s="78"/>
      <c r="M82" s="78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</row>
    <row r="83" spans="4:34" x14ac:dyDescent="0.25">
      <c r="D83" s="72"/>
      <c r="E83" s="73"/>
      <c r="F83" s="78"/>
      <c r="G83" s="78"/>
      <c r="H83" s="78"/>
      <c r="I83" s="78"/>
      <c r="J83" s="78"/>
      <c r="K83" s="78"/>
      <c r="L83" s="78"/>
      <c r="M83" s="78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</row>
    <row r="84" spans="4:34" x14ac:dyDescent="0.25">
      <c r="D84" s="72"/>
      <c r="E84" s="73"/>
      <c r="F84" s="78"/>
      <c r="G84" s="78"/>
      <c r="H84" s="78"/>
      <c r="I84" s="78"/>
      <c r="J84" s="78"/>
      <c r="K84" s="78"/>
      <c r="L84" s="78"/>
      <c r="M84" s="78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</row>
    <row r="85" spans="4:34" x14ac:dyDescent="0.25">
      <c r="D85" s="72"/>
      <c r="E85" s="73"/>
      <c r="F85" s="78"/>
      <c r="G85" s="78"/>
      <c r="H85" s="78"/>
      <c r="I85" s="78"/>
      <c r="J85" s="78"/>
      <c r="K85" s="78"/>
      <c r="L85" s="78"/>
      <c r="M85" s="78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</row>
    <row r="86" spans="4:34" x14ac:dyDescent="0.25">
      <c r="D86" s="72"/>
      <c r="E86" s="73"/>
      <c r="F86" s="78"/>
      <c r="G86" s="78"/>
      <c r="H86" s="78"/>
      <c r="I86" s="78"/>
      <c r="J86" s="78"/>
      <c r="K86" s="78"/>
      <c r="L86" s="78"/>
      <c r="M86" s="78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</row>
  </sheetData>
  <sheetProtection selectLockedCells="1" selectUnlockedCells="1"/>
  <conditionalFormatting sqref="D49:F50 H49:M50 D48:M48">
    <cfRule type="expression" dxfId="2" priority="3">
      <formula>$D48="X"</formula>
    </cfRule>
  </conditionalFormatting>
  <conditionalFormatting sqref="D51:F51 H51:M51">
    <cfRule type="expression" dxfId="1" priority="2">
      <formula>$D51="X"</formula>
    </cfRule>
  </conditionalFormatting>
  <conditionalFormatting sqref="G49:G51">
    <cfRule type="expression" dxfId="0" priority="1">
      <formula>$D49="X"</formula>
    </cfRule>
  </conditionalFormatting>
  <dataValidations count="12">
    <dataValidation type="list" allowBlank="1" showInputMessage="1" showErrorMessage="1" error="Please select value from list" sqref="F45" xr:uid="{00000000-0002-0000-0100-000000000000}">
      <formula1>UnitsText_List</formula1>
    </dataValidation>
    <dataValidation type="list" allowBlank="1" showInputMessage="1" showErrorMessage="1" error="Please select value from list" sqref="F37:M37" xr:uid="{00000000-0002-0000-0100-000001000000}">
      <formula1>Measures_List</formula1>
    </dataValidation>
    <dataValidation type="list" allowBlank="1" showInputMessage="1" showErrorMessage="1" error="Please select value from list" sqref="F4:M5" xr:uid="{00000000-0002-0000-0100-000002000000}">
      <formula1>TrueFalse_List</formula1>
    </dataValidation>
    <dataValidation type="list" allowBlank="1" showInputMessage="1" showErrorMessage="1" error="Please select value from list" sqref="F8:M8" xr:uid="{00000000-0002-0000-0100-000003000000}">
      <formula1>PeriodScopes_List</formula1>
    </dataValidation>
    <dataValidation type="list" allowBlank="1" showInputMessage="1" showErrorMessage="1" sqref="F43" xr:uid="{00000000-0002-0000-0100-000004000000}">
      <formula1>$O$1:$O$4</formula1>
    </dataValidation>
    <dataValidation type="list" allowBlank="1" showInputMessage="1" showErrorMessage="1" sqref="F49" xr:uid="{00000000-0002-0000-0100-000005000000}">
      <formula1>$T$1:$T$10</formula1>
    </dataValidation>
    <dataValidation type="list" allowBlank="1" showInputMessage="1" showErrorMessage="1" sqref="F50" xr:uid="{00000000-0002-0000-0100-000006000000}">
      <formula1>$Q$1:$Q$13</formula1>
    </dataValidation>
    <dataValidation type="list" allowBlank="1" showInputMessage="1" showErrorMessage="1" sqref="F62 N62" xr:uid="{00000000-0002-0000-0100-000007000000}">
      <formula1>$AJ$1:$AJ$7</formula1>
    </dataValidation>
    <dataValidation type="list" allowBlank="1" showInputMessage="1" showErrorMessage="1" sqref="F60 N60" xr:uid="{00000000-0002-0000-0100-000008000000}">
      <formula1>$Q$16:$Q$20</formula1>
    </dataValidation>
    <dataValidation type="list" allowBlank="1" showInputMessage="1" showErrorMessage="1" sqref="N3" xr:uid="{00000000-0002-0000-0100-000009000000}">
      <formula1>$AF$2:$AF$3</formula1>
    </dataValidation>
    <dataValidation type="list" allowBlank="1" showInputMessage="1" showErrorMessage="1" sqref="F44" xr:uid="{00000000-0002-0000-0100-00000A000000}">
      <formula1>$Z$1:$Z$2</formula1>
    </dataValidation>
    <dataValidation type="list" allowBlank="1" showInputMessage="1" showErrorMessage="1" sqref="F57 N57" xr:uid="{00000000-0002-0000-0100-00000B000000}">
      <formula1>$AH$1:$AH$9</formula1>
    </dataValidation>
  </dataValidations>
  <pageMargins left="0.70866141732283472" right="0.70866141732283472" top="0.74803149606299213" bottom="0.74803149606299213" header="0.31496062992125984" footer="0.31496062992125984"/>
  <pageSetup paperSize="8" scale="59" orientation="landscape" r:id="rId1"/>
  <headerFooter>
    <oddHeader>&amp;C&amp;"Calibri"&amp;10 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ocalLists"/>
  <dimension ref="A1:S150"/>
  <sheetViews>
    <sheetView topLeftCell="A46" workbookViewId="0">
      <selection activeCell="G57" sqref="G57"/>
    </sheetView>
  </sheetViews>
  <sheetFormatPr defaultColWidth="24.5546875" defaultRowHeight="13.2" x14ac:dyDescent="0.25"/>
  <cols>
    <col min="1" max="1" width="20.44140625" style="24" customWidth="1"/>
    <col min="2" max="2" width="22" style="24" customWidth="1"/>
    <col min="3" max="3" width="17.109375" style="24" customWidth="1"/>
    <col min="4" max="4" width="18.5546875" style="24" customWidth="1"/>
    <col min="5" max="5" width="19.88671875" style="24" customWidth="1"/>
    <col min="6" max="6" width="32.6640625" style="24" customWidth="1"/>
    <col min="7" max="7" width="43.33203125" style="24" customWidth="1"/>
    <col min="8" max="8" width="19.109375" style="24" bestFit="1" customWidth="1"/>
    <col min="9" max="9" width="31.88671875" style="20" customWidth="1"/>
    <col min="10" max="10" width="23.33203125" style="20" bestFit="1" customWidth="1"/>
    <col min="11" max="11" width="27.109375" style="24" bestFit="1" customWidth="1"/>
    <col min="12" max="12" width="18.44140625" style="24" bestFit="1" customWidth="1"/>
    <col min="13" max="13" width="15.88671875" style="16" bestFit="1" customWidth="1"/>
    <col min="14" max="14" width="24.5546875" style="24"/>
    <col min="15" max="15" width="31.6640625" style="24" customWidth="1"/>
    <col min="16" max="16384" width="24.5546875" style="24"/>
  </cols>
  <sheetData>
    <row r="1" spans="1:19" x14ac:dyDescent="0.25">
      <c r="A1" s="35" t="s">
        <v>46</v>
      </c>
      <c r="B1" s="35" t="s">
        <v>76</v>
      </c>
      <c r="C1" s="35" t="s">
        <v>47</v>
      </c>
      <c r="D1" s="35" t="s">
        <v>48</v>
      </c>
      <c r="E1" s="35" t="s">
        <v>108</v>
      </c>
      <c r="F1" s="35" t="s">
        <v>109</v>
      </c>
      <c r="G1" s="35" t="s">
        <v>110</v>
      </c>
      <c r="H1" s="35" t="s">
        <v>111</v>
      </c>
      <c r="I1" s="35" t="s">
        <v>205</v>
      </c>
      <c r="J1" s="35" t="s">
        <v>112</v>
      </c>
      <c r="K1" s="35" t="s">
        <v>113</v>
      </c>
      <c r="L1" s="35" t="s">
        <v>114</v>
      </c>
      <c r="M1" s="36" t="s">
        <v>115</v>
      </c>
      <c r="N1" s="19" t="s">
        <v>49</v>
      </c>
      <c r="O1" s="19" t="s">
        <v>77</v>
      </c>
      <c r="P1" s="39" t="s">
        <v>211</v>
      </c>
      <c r="Q1" s="39" t="s">
        <v>212</v>
      </c>
      <c r="R1" s="39" t="s">
        <v>213</v>
      </c>
      <c r="S1" s="39" t="s">
        <v>214</v>
      </c>
    </row>
    <row r="2" spans="1:19" x14ac:dyDescent="0.25">
      <c r="A2" s="24" t="s">
        <v>34</v>
      </c>
      <c r="B2" s="20" t="e">
        <f ca="1">_xll.DFRST(MeasureExt_V)</f>
        <v>#NAME?</v>
      </c>
      <c r="C2" s="20" t="s">
        <v>44</v>
      </c>
      <c r="D2" s="6">
        <v>1</v>
      </c>
      <c r="E2" s="23" t="b">
        <v>1</v>
      </c>
      <c r="F2" s="24" t="s">
        <v>98</v>
      </c>
      <c r="G2" s="32" t="s">
        <v>40</v>
      </c>
      <c r="H2" s="24" t="s">
        <v>78</v>
      </c>
      <c r="I2" s="24" t="s">
        <v>9</v>
      </c>
      <c r="J2" s="24" t="s">
        <v>70</v>
      </c>
      <c r="K2" s="24" t="s">
        <v>79</v>
      </c>
      <c r="L2" s="24" t="s">
        <v>51</v>
      </c>
      <c r="M2" s="16" t="s">
        <v>67</v>
      </c>
      <c r="N2" s="25" t="s">
        <v>136</v>
      </c>
      <c r="O2" s="25" t="s">
        <v>100</v>
      </c>
      <c r="P2" s="37" t="s">
        <v>98</v>
      </c>
      <c r="Q2" s="37" t="s">
        <v>98</v>
      </c>
      <c r="R2" s="37" t="s">
        <v>98</v>
      </c>
      <c r="S2" s="37" t="s">
        <v>98</v>
      </c>
    </row>
    <row r="3" spans="1:19" x14ac:dyDescent="0.25">
      <c r="A3" s="20" t="s">
        <v>18</v>
      </c>
      <c r="B3" s="24" t="s">
        <v>117</v>
      </c>
      <c r="C3" s="24" t="s">
        <v>6</v>
      </c>
      <c r="D3" s="6">
        <v>1000</v>
      </c>
      <c r="E3" s="23" t="b">
        <v>0</v>
      </c>
      <c r="F3" s="23" t="s">
        <v>118</v>
      </c>
      <c r="G3" s="32" t="s">
        <v>41</v>
      </c>
      <c r="H3" s="20" t="e">
        <f ca="1">_xll.ELCOMP(Dim3Ext_V,"GEO Total",1)</f>
        <v>#NAME?</v>
      </c>
      <c r="I3" s="24" t="s">
        <v>8</v>
      </c>
      <c r="J3" s="24" t="s">
        <v>80</v>
      </c>
      <c r="K3" s="24" t="s">
        <v>71</v>
      </c>
      <c r="L3" s="20"/>
      <c r="M3" s="16" t="s">
        <v>66</v>
      </c>
      <c r="N3" s="25" t="s">
        <v>100</v>
      </c>
      <c r="O3" s="30" t="s">
        <v>136</v>
      </c>
      <c r="P3" s="37" t="s">
        <v>204</v>
      </c>
      <c r="Q3" s="37" t="s">
        <v>123</v>
      </c>
      <c r="R3" s="38" t="s">
        <v>118</v>
      </c>
      <c r="S3" s="38" t="s">
        <v>118</v>
      </c>
    </row>
    <row r="4" spans="1:19" x14ac:dyDescent="0.25">
      <c r="A4" s="24" t="s">
        <v>35</v>
      </c>
      <c r="B4" s="24" t="s">
        <v>120</v>
      </c>
      <c r="C4" s="24" t="s">
        <v>45</v>
      </c>
      <c r="D4" s="6">
        <v>1000000</v>
      </c>
      <c r="F4" s="24" t="s">
        <v>121</v>
      </c>
      <c r="G4" s="32" t="s">
        <v>153</v>
      </c>
      <c r="H4" s="20" t="e">
        <f ca="1">_xll.ELCOMP(Dim3Ext_V,"GEO Total",2)</f>
        <v>#NAME?</v>
      </c>
      <c r="I4" s="24" t="s">
        <v>33</v>
      </c>
      <c r="J4" s="24" t="s">
        <v>81</v>
      </c>
      <c r="M4" s="16" t="s">
        <v>65</v>
      </c>
      <c r="P4" s="37"/>
      <c r="Q4" s="37" t="s">
        <v>129</v>
      </c>
      <c r="R4" s="37" t="s">
        <v>121</v>
      </c>
      <c r="S4" s="37" t="s">
        <v>121</v>
      </c>
    </row>
    <row r="5" spans="1:19" x14ac:dyDescent="0.25">
      <c r="F5" s="24" t="s">
        <v>123</v>
      </c>
      <c r="G5" s="32" t="s">
        <v>154</v>
      </c>
      <c r="H5" s="20" t="e">
        <f ca="1">_xll.ELCOMP(Dim3Ext_V,"GEO Total",3)</f>
        <v>#NAME?</v>
      </c>
      <c r="I5" s="24" t="s">
        <v>82</v>
      </c>
      <c r="J5" s="24" t="s">
        <v>83</v>
      </c>
      <c r="M5" s="16" t="s">
        <v>64</v>
      </c>
      <c r="P5" s="37"/>
      <c r="Q5" s="37"/>
      <c r="R5" s="37" t="s">
        <v>125</v>
      </c>
      <c r="S5" s="37" t="s">
        <v>123</v>
      </c>
    </row>
    <row r="6" spans="1:19" x14ac:dyDescent="0.25">
      <c r="F6" s="24" t="s">
        <v>125</v>
      </c>
      <c r="G6" s="32" t="s">
        <v>155</v>
      </c>
      <c r="H6" s="20" t="e">
        <f ca="1">_xll.ELCOMP(Dim3Ext_V,"GEO Total",4)</f>
        <v>#NAME?</v>
      </c>
      <c r="I6" s="24"/>
      <c r="J6" s="24" t="s">
        <v>84</v>
      </c>
      <c r="M6" s="16" t="s">
        <v>63</v>
      </c>
      <c r="P6" s="37"/>
      <c r="Q6" s="37"/>
      <c r="R6" s="37" t="s">
        <v>126</v>
      </c>
      <c r="S6" s="37" t="s">
        <v>125</v>
      </c>
    </row>
    <row r="7" spans="1:19" x14ac:dyDescent="0.25">
      <c r="F7" s="24" t="s">
        <v>126</v>
      </c>
      <c r="G7" s="32" t="s">
        <v>156</v>
      </c>
      <c r="H7" s="20" t="e">
        <f ca="1">_xll.ELCOMP(Dim3Ext_V,"GEO Total",5)</f>
        <v>#NAME?</v>
      </c>
      <c r="I7" s="24"/>
      <c r="J7" s="24" t="s">
        <v>85</v>
      </c>
      <c r="M7" s="16" t="s">
        <v>62</v>
      </c>
      <c r="P7" s="37"/>
      <c r="Q7" s="37"/>
      <c r="R7" s="37" t="s">
        <v>127</v>
      </c>
      <c r="S7" s="37" t="s">
        <v>126</v>
      </c>
    </row>
    <row r="8" spans="1:19" x14ac:dyDescent="0.25">
      <c r="F8" s="24" t="s">
        <v>127</v>
      </c>
      <c r="G8" s="32" t="s">
        <v>157</v>
      </c>
      <c r="H8" s="20" t="e">
        <f ca="1">_xll.ELCOMP(Dim3Ext_V,"GEO Total",6)</f>
        <v>#NAME?</v>
      </c>
      <c r="I8" s="24"/>
      <c r="J8" s="24" t="s">
        <v>86</v>
      </c>
      <c r="M8" s="16" t="s">
        <v>61</v>
      </c>
      <c r="P8" s="37"/>
      <c r="Q8" s="37"/>
      <c r="R8" s="37" t="s">
        <v>128</v>
      </c>
      <c r="S8" s="37" t="s">
        <v>127</v>
      </c>
    </row>
    <row r="9" spans="1:19" x14ac:dyDescent="0.25">
      <c r="F9" s="24" t="s">
        <v>128</v>
      </c>
      <c r="G9" s="32" t="s">
        <v>158</v>
      </c>
      <c r="H9" s="20" t="e">
        <f ca="1">_xll.ELCOMP(Dim3Ext_V,"GEO Total",7)</f>
        <v>#NAME?</v>
      </c>
      <c r="I9" s="24"/>
      <c r="J9" s="24"/>
      <c r="M9" s="16" t="s">
        <v>60</v>
      </c>
      <c r="P9" s="37"/>
      <c r="Q9" s="37"/>
      <c r="R9" s="37" t="s">
        <v>130</v>
      </c>
      <c r="S9" s="37" t="s">
        <v>128</v>
      </c>
    </row>
    <row r="10" spans="1:19" x14ac:dyDescent="0.25">
      <c r="F10" s="24" t="s">
        <v>129</v>
      </c>
      <c r="G10" s="32" t="s">
        <v>159</v>
      </c>
      <c r="I10" s="24"/>
      <c r="J10" s="24"/>
      <c r="M10" s="16" t="s">
        <v>59</v>
      </c>
      <c r="P10" s="37"/>
      <c r="Q10" s="37"/>
      <c r="R10" s="37" t="s">
        <v>131</v>
      </c>
      <c r="S10" s="37" t="s">
        <v>129</v>
      </c>
    </row>
    <row r="11" spans="1:19" x14ac:dyDescent="0.25">
      <c r="F11" s="24" t="s">
        <v>130</v>
      </c>
      <c r="G11" s="32" t="s">
        <v>160</v>
      </c>
      <c r="I11" s="24"/>
      <c r="J11" s="24"/>
      <c r="M11" s="16" t="s">
        <v>58</v>
      </c>
      <c r="P11" s="37"/>
      <c r="Q11" s="37"/>
      <c r="R11" s="37" t="s">
        <v>132</v>
      </c>
      <c r="S11" s="37" t="s">
        <v>130</v>
      </c>
    </row>
    <row r="12" spans="1:19" x14ac:dyDescent="0.25">
      <c r="F12" s="24" t="s">
        <v>131</v>
      </c>
      <c r="G12" s="32" t="s">
        <v>42</v>
      </c>
      <c r="I12" s="24"/>
      <c r="J12" s="24"/>
      <c r="M12" s="16" t="s">
        <v>57</v>
      </c>
      <c r="P12" s="37"/>
      <c r="Q12" s="37"/>
      <c r="R12" s="37" t="s">
        <v>133</v>
      </c>
      <c r="S12" s="37" t="s">
        <v>131</v>
      </c>
    </row>
    <row r="13" spans="1:19" x14ac:dyDescent="0.25">
      <c r="F13" s="24" t="s">
        <v>132</v>
      </c>
      <c r="G13" s="32" t="s">
        <v>161</v>
      </c>
      <c r="I13" s="24"/>
      <c r="J13" s="24"/>
      <c r="M13" s="16" t="s">
        <v>56</v>
      </c>
      <c r="P13" s="37"/>
      <c r="Q13" s="37"/>
      <c r="R13" s="37" t="s">
        <v>134</v>
      </c>
      <c r="S13" s="37" t="s">
        <v>204</v>
      </c>
    </row>
    <row r="14" spans="1:19" x14ac:dyDescent="0.25">
      <c r="F14" s="24" t="s">
        <v>133</v>
      </c>
      <c r="G14" s="32" t="s">
        <v>162</v>
      </c>
      <c r="I14" s="24"/>
      <c r="J14" s="24"/>
      <c r="M14" s="16" t="s">
        <v>55</v>
      </c>
      <c r="P14" s="37"/>
      <c r="Q14" s="37"/>
      <c r="R14" s="37" t="s">
        <v>135</v>
      </c>
      <c r="S14" s="37" t="s">
        <v>132</v>
      </c>
    </row>
    <row r="15" spans="1:19" x14ac:dyDescent="0.25">
      <c r="F15" s="24" t="s">
        <v>134</v>
      </c>
      <c r="G15" s="32" t="s">
        <v>163</v>
      </c>
      <c r="I15" s="24"/>
      <c r="J15" s="24"/>
      <c r="M15" s="16" t="s">
        <v>54</v>
      </c>
      <c r="P15" s="37"/>
      <c r="Q15" s="37"/>
      <c r="R15" s="37"/>
      <c r="S15" s="37" t="s">
        <v>133</v>
      </c>
    </row>
    <row r="16" spans="1:19" x14ac:dyDescent="0.25">
      <c r="F16" s="24" t="s">
        <v>135</v>
      </c>
      <c r="G16" s="32" t="s">
        <v>164</v>
      </c>
      <c r="I16" s="24"/>
      <c r="J16" s="24"/>
      <c r="M16" s="16" t="s">
        <v>53</v>
      </c>
      <c r="P16" s="37"/>
      <c r="Q16" s="37"/>
      <c r="R16" s="37"/>
      <c r="S16" s="37" t="s">
        <v>134</v>
      </c>
    </row>
    <row r="17" spans="6:19" x14ac:dyDescent="0.25">
      <c r="F17" s="33" t="s">
        <v>204</v>
      </c>
      <c r="G17" s="32" t="s">
        <v>165</v>
      </c>
      <c r="I17" s="24"/>
      <c r="J17" s="24"/>
      <c r="M17" s="16" t="s">
        <v>52</v>
      </c>
      <c r="P17" s="37"/>
      <c r="Q17" s="37"/>
      <c r="R17" s="37"/>
      <c r="S17" s="37" t="s">
        <v>135</v>
      </c>
    </row>
    <row r="18" spans="6:19" x14ac:dyDescent="0.25">
      <c r="G18" s="32" t="s">
        <v>166</v>
      </c>
      <c r="I18" s="24"/>
      <c r="J18" s="24"/>
      <c r="M18" s="16" t="s">
        <v>50</v>
      </c>
    </row>
    <row r="19" spans="6:19" x14ac:dyDescent="0.25">
      <c r="G19" s="32" t="s">
        <v>167</v>
      </c>
      <c r="I19" s="24"/>
      <c r="J19" s="24"/>
      <c r="M19" s="16" t="s">
        <v>124</v>
      </c>
    </row>
    <row r="20" spans="6:19" x14ac:dyDescent="0.25">
      <c r="G20" s="32" t="s">
        <v>168</v>
      </c>
      <c r="I20" s="24"/>
      <c r="J20" s="24"/>
      <c r="M20" s="16" t="s">
        <v>122</v>
      </c>
    </row>
    <row r="21" spans="6:19" x14ac:dyDescent="0.25">
      <c r="G21" s="32" t="s">
        <v>169</v>
      </c>
      <c r="I21" s="24"/>
      <c r="J21" s="24"/>
      <c r="M21" s="16" t="s">
        <v>119</v>
      </c>
    </row>
    <row r="22" spans="6:19" x14ac:dyDescent="0.25">
      <c r="G22" s="32" t="s">
        <v>170</v>
      </c>
      <c r="I22" s="24"/>
      <c r="J22" s="24"/>
      <c r="M22" s="16" t="s">
        <v>116</v>
      </c>
    </row>
    <row r="23" spans="6:19" x14ac:dyDescent="0.25">
      <c r="G23" s="32" t="s">
        <v>171</v>
      </c>
      <c r="I23" s="24"/>
      <c r="J23" s="24"/>
      <c r="M23" s="16" t="s">
        <v>137</v>
      </c>
    </row>
    <row r="24" spans="6:19" x14ac:dyDescent="0.25">
      <c r="G24" s="32" t="s">
        <v>172</v>
      </c>
      <c r="I24" s="24"/>
      <c r="J24" s="24"/>
      <c r="M24" s="16" t="s">
        <v>138</v>
      </c>
    </row>
    <row r="25" spans="6:19" ht="12" customHeight="1" x14ac:dyDescent="0.25">
      <c r="G25" s="32" t="s">
        <v>173</v>
      </c>
      <c r="I25" s="24"/>
      <c r="J25" s="24"/>
      <c r="M25" s="16" t="s">
        <v>139</v>
      </c>
    </row>
    <row r="26" spans="6:19" x14ac:dyDescent="0.25">
      <c r="G26" s="32" t="s">
        <v>174</v>
      </c>
      <c r="I26" s="24"/>
      <c r="J26" s="24"/>
      <c r="M26" s="16" t="s">
        <v>140</v>
      </c>
    </row>
    <row r="27" spans="6:19" x14ac:dyDescent="0.25">
      <c r="G27" s="32" t="s">
        <v>175</v>
      </c>
      <c r="I27" s="24"/>
      <c r="J27" s="24"/>
      <c r="M27" s="16" t="s">
        <v>141</v>
      </c>
    </row>
    <row r="28" spans="6:19" x14ac:dyDescent="0.25">
      <c r="G28" s="32" t="s">
        <v>176</v>
      </c>
      <c r="I28" s="24"/>
      <c r="J28" s="24"/>
      <c r="M28" s="16" t="s">
        <v>142</v>
      </c>
    </row>
    <row r="29" spans="6:19" x14ac:dyDescent="0.25">
      <c r="G29" s="32" t="s">
        <v>177</v>
      </c>
      <c r="I29" s="24"/>
      <c r="J29" s="24"/>
      <c r="M29" s="16" t="s">
        <v>143</v>
      </c>
    </row>
    <row r="30" spans="6:19" x14ac:dyDescent="0.25">
      <c r="F30" s="30"/>
      <c r="G30" s="32" t="s">
        <v>178</v>
      </c>
      <c r="I30" s="24"/>
      <c r="J30" s="24"/>
      <c r="M30" s="16" t="s">
        <v>144</v>
      </c>
    </row>
    <row r="31" spans="6:19" x14ac:dyDescent="0.25">
      <c r="F31" s="30"/>
      <c r="G31" s="32" t="s">
        <v>179</v>
      </c>
      <c r="I31" s="24"/>
      <c r="J31" s="24"/>
      <c r="M31" s="16" t="s">
        <v>145</v>
      </c>
    </row>
    <row r="32" spans="6:19" x14ac:dyDescent="0.25">
      <c r="F32" s="30"/>
      <c r="G32" s="32" t="s">
        <v>180</v>
      </c>
      <c r="I32" s="24"/>
      <c r="J32" s="24"/>
      <c r="M32" s="16" t="s">
        <v>146</v>
      </c>
    </row>
    <row r="33" spans="6:13" x14ac:dyDescent="0.25">
      <c r="F33" s="30"/>
      <c r="G33" s="32" t="s">
        <v>181</v>
      </c>
      <c r="I33" s="24"/>
      <c r="J33" s="24"/>
      <c r="M33" s="16" t="s">
        <v>147</v>
      </c>
    </row>
    <row r="34" spans="6:13" x14ac:dyDescent="0.25">
      <c r="F34" s="30"/>
      <c r="G34" s="32" t="s">
        <v>182</v>
      </c>
      <c r="I34" s="24"/>
      <c r="J34" s="24"/>
      <c r="M34" s="16" t="s">
        <v>148</v>
      </c>
    </row>
    <row r="35" spans="6:13" x14ac:dyDescent="0.25">
      <c r="F35" s="30"/>
      <c r="G35" s="32" t="s">
        <v>183</v>
      </c>
      <c r="I35" s="24"/>
      <c r="J35" s="24"/>
      <c r="M35" s="16" t="s">
        <v>149</v>
      </c>
    </row>
    <row r="36" spans="6:13" x14ac:dyDescent="0.25">
      <c r="F36" s="30"/>
      <c r="G36" s="32" t="s">
        <v>184</v>
      </c>
      <c r="I36" s="24"/>
      <c r="J36" s="24"/>
      <c r="M36" s="16" t="s">
        <v>150</v>
      </c>
    </row>
    <row r="37" spans="6:13" x14ac:dyDescent="0.25">
      <c r="F37" s="30"/>
      <c r="G37" s="32" t="s">
        <v>185</v>
      </c>
      <c r="I37" s="24"/>
      <c r="J37" s="24"/>
      <c r="M37" s="16" t="s">
        <v>151</v>
      </c>
    </row>
    <row r="38" spans="6:13" x14ac:dyDescent="0.25">
      <c r="F38" s="30"/>
      <c r="G38" s="32" t="s">
        <v>186</v>
      </c>
      <c r="I38" s="24"/>
      <c r="J38" s="24"/>
      <c r="M38" s="16" t="s">
        <v>152</v>
      </c>
    </row>
    <row r="39" spans="6:13" x14ac:dyDescent="0.25">
      <c r="F39" s="30"/>
      <c r="G39" s="32" t="s">
        <v>187</v>
      </c>
      <c r="I39" s="24"/>
      <c r="J39" s="24"/>
    </row>
    <row r="40" spans="6:13" x14ac:dyDescent="0.25">
      <c r="F40" s="30"/>
      <c r="G40" s="32" t="s">
        <v>188</v>
      </c>
      <c r="I40" s="24"/>
      <c r="J40" s="24"/>
    </row>
    <row r="41" spans="6:13" x14ac:dyDescent="0.25">
      <c r="F41" s="30"/>
      <c r="G41" s="32" t="s">
        <v>189</v>
      </c>
      <c r="I41" s="24"/>
      <c r="J41" s="24"/>
    </row>
    <row r="42" spans="6:13" x14ac:dyDescent="0.25">
      <c r="F42" s="30"/>
      <c r="G42" s="32" t="s">
        <v>190</v>
      </c>
      <c r="I42" s="24"/>
      <c r="J42" s="24"/>
    </row>
    <row r="43" spans="6:13" x14ac:dyDescent="0.25">
      <c r="F43" s="30"/>
      <c r="G43" s="32" t="s">
        <v>191</v>
      </c>
      <c r="I43" s="24"/>
      <c r="J43" s="24"/>
    </row>
    <row r="44" spans="6:13" x14ac:dyDescent="0.25">
      <c r="F44" s="30"/>
      <c r="G44" s="32" t="s">
        <v>192</v>
      </c>
      <c r="I44" s="24"/>
      <c r="J44" s="24"/>
    </row>
    <row r="45" spans="6:13" x14ac:dyDescent="0.25">
      <c r="F45" s="30"/>
      <c r="G45" s="32" t="s">
        <v>193</v>
      </c>
      <c r="I45" s="24"/>
      <c r="J45" s="24"/>
    </row>
    <row r="46" spans="6:13" x14ac:dyDescent="0.25">
      <c r="F46" s="30"/>
      <c r="G46" s="32" t="s">
        <v>194</v>
      </c>
      <c r="I46" s="24"/>
      <c r="J46" s="24"/>
    </row>
    <row r="47" spans="6:13" x14ac:dyDescent="0.25">
      <c r="F47" s="30"/>
      <c r="G47" s="32" t="s">
        <v>195</v>
      </c>
      <c r="I47" s="24"/>
      <c r="J47" s="24"/>
    </row>
    <row r="48" spans="6:13" x14ac:dyDescent="0.25">
      <c r="F48" s="30"/>
      <c r="G48" s="32" t="s">
        <v>196</v>
      </c>
      <c r="I48" s="24"/>
      <c r="J48" s="24"/>
    </row>
    <row r="49" spans="6:10" x14ac:dyDescent="0.25">
      <c r="F49" s="30"/>
      <c r="G49" s="32" t="s">
        <v>197</v>
      </c>
      <c r="I49" s="24"/>
      <c r="J49" s="24"/>
    </row>
    <row r="50" spans="6:10" x14ac:dyDescent="0.25">
      <c r="F50" s="30"/>
      <c r="G50" s="32" t="s">
        <v>198</v>
      </c>
      <c r="I50" s="24"/>
      <c r="J50" s="24"/>
    </row>
    <row r="51" spans="6:10" x14ac:dyDescent="0.25">
      <c r="F51" s="30"/>
      <c r="G51" s="32" t="s">
        <v>199</v>
      </c>
      <c r="I51" s="24"/>
      <c r="J51" s="24"/>
    </row>
    <row r="52" spans="6:10" x14ac:dyDescent="0.25">
      <c r="F52" s="30"/>
      <c r="G52" s="32" t="s">
        <v>200</v>
      </c>
      <c r="I52" s="24"/>
      <c r="J52" s="24"/>
    </row>
    <row r="53" spans="6:10" x14ac:dyDescent="0.25">
      <c r="F53" s="30"/>
      <c r="G53" s="32" t="s">
        <v>201</v>
      </c>
      <c r="I53" s="24"/>
      <c r="J53" s="24"/>
    </row>
    <row r="54" spans="6:10" x14ac:dyDescent="0.25">
      <c r="F54" s="30"/>
      <c r="G54" s="32" t="s">
        <v>202</v>
      </c>
      <c r="I54" s="24"/>
      <c r="J54" s="24"/>
    </row>
    <row r="55" spans="6:10" x14ac:dyDescent="0.25">
      <c r="F55" s="30"/>
      <c r="G55" s="32" t="s">
        <v>203</v>
      </c>
      <c r="I55" s="24"/>
      <c r="J55" s="24"/>
    </row>
    <row r="56" spans="6:10" x14ac:dyDescent="0.25">
      <c r="F56" s="30"/>
      <c r="G56" s="40" t="s">
        <v>220</v>
      </c>
      <c r="I56" s="24"/>
      <c r="J56" s="24"/>
    </row>
    <row r="57" spans="6:10" x14ac:dyDescent="0.25">
      <c r="G57" s="30"/>
      <c r="I57" s="24"/>
      <c r="J57" s="24"/>
    </row>
    <row r="58" spans="6:10" x14ac:dyDescent="0.25">
      <c r="G58" s="30"/>
      <c r="I58" s="24"/>
      <c r="J58" s="24"/>
    </row>
    <row r="59" spans="6:10" x14ac:dyDescent="0.25">
      <c r="I59" s="24"/>
      <c r="J59" s="24"/>
    </row>
    <row r="60" spans="6:10" x14ac:dyDescent="0.25">
      <c r="G60" s="30"/>
      <c r="I60" s="24"/>
      <c r="J60" s="24"/>
    </row>
    <row r="61" spans="6:10" x14ac:dyDescent="0.25">
      <c r="I61" s="24"/>
      <c r="J61" s="24"/>
    </row>
    <row r="62" spans="6:10" x14ac:dyDescent="0.25">
      <c r="I62" s="24"/>
      <c r="J62" s="24"/>
    </row>
    <row r="63" spans="6:10" x14ac:dyDescent="0.25">
      <c r="G63" s="30"/>
      <c r="I63" s="24"/>
      <c r="J63" s="24"/>
    </row>
    <row r="64" spans="6:10" x14ac:dyDescent="0.25">
      <c r="I64" s="24"/>
      <c r="J64" s="24"/>
    </row>
    <row r="65" spans="7:10" x14ac:dyDescent="0.25">
      <c r="I65" s="24"/>
      <c r="J65" s="24"/>
    </row>
    <row r="66" spans="7:10" x14ac:dyDescent="0.25">
      <c r="I66" s="24"/>
      <c r="J66" s="24"/>
    </row>
    <row r="67" spans="7:10" x14ac:dyDescent="0.25">
      <c r="G67" s="30"/>
      <c r="I67" s="24"/>
      <c r="J67" s="24"/>
    </row>
    <row r="68" spans="7:10" x14ac:dyDescent="0.25">
      <c r="G68" s="30"/>
      <c r="I68" s="24"/>
      <c r="J68" s="24"/>
    </row>
    <row r="69" spans="7:10" x14ac:dyDescent="0.25">
      <c r="G69" s="30"/>
      <c r="I69" s="24"/>
      <c r="J69" s="24"/>
    </row>
    <row r="70" spans="7:10" x14ac:dyDescent="0.25">
      <c r="G70" s="30"/>
      <c r="I70" s="24"/>
      <c r="J70" s="24"/>
    </row>
    <row r="71" spans="7:10" x14ac:dyDescent="0.25">
      <c r="G71" s="30"/>
      <c r="I71" s="24"/>
      <c r="J71" s="24"/>
    </row>
    <row r="72" spans="7:10" x14ac:dyDescent="0.25">
      <c r="G72" s="30"/>
      <c r="I72" s="24"/>
      <c r="J72" s="24"/>
    </row>
    <row r="73" spans="7:10" x14ac:dyDescent="0.25">
      <c r="I73" s="24"/>
      <c r="J73" s="24"/>
    </row>
    <row r="74" spans="7:10" x14ac:dyDescent="0.25">
      <c r="G74" s="30"/>
      <c r="I74" s="24"/>
      <c r="J74" s="24"/>
    </row>
    <row r="75" spans="7:10" x14ac:dyDescent="0.25">
      <c r="G75" s="30"/>
      <c r="I75" s="24"/>
      <c r="J75" s="24"/>
    </row>
    <row r="76" spans="7:10" x14ac:dyDescent="0.25">
      <c r="I76" s="24"/>
      <c r="J76" s="24"/>
    </row>
    <row r="77" spans="7:10" x14ac:dyDescent="0.25">
      <c r="I77" s="24"/>
      <c r="J77" s="24"/>
    </row>
    <row r="78" spans="7:10" x14ac:dyDescent="0.25">
      <c r="I78" s="24"/>
      <c r="J78" s="24"/>
    </row>
    <row r="79" spans="7:10" x14ac:dyDescent="0.25">
      <c r="I79" s="24"/>
      <c r="J79" s="24"/>
    </row>
    <row r="80" spans="7:10" x14ac:dyDescent="0.25">
      <c r="I80" s="24"/>
      <c r="J80" s="24"/>
    </row>
    <row r="81" spans="9:10" x14ac:dyDescent="0.25">
      <c r="I81" s="24"/>
      <c r="J81" s="24"/>
    </row>
    <row r="82" spans="9:10" x14ac:dyDescent="0.25">
      <c r="I82" s="24"/>
      <c r="J82" s="24"/>
    </row>
    <row r="83" spans="9:10" x14ac:dyDescent="0.25">
      <c r="I83" s="24"/>
      <c r="J83" s="24"/>
    </row>
    <row r="84" spans="9:10" x14ac:dyDescent="0.25">
      <c r="I84" s="24"/>
      <c r="J84" s="24"/>
    </row>
    <row r="85" spans="9:10" x14ac:dyDescent="0.25">
      <c r="I85" s="24"/>
      <c r="J85" s="24"/>
    </row>
    <row r="86" spans="9:10" x14ac:dyDescent="0.25">
      <c r="I86" s="24"/>
      <c r="J86" s="24"/>
    </row>
    <row r="87" spans="9:10" x14ac:dyDescent="0.25">
      <c r="I87" s="24"/>
      <c r="J87" s="24"/>
    </row>
    <row r="88" spans="9:10" x14ac:dyDescent="0.25">
      <c r="I88" s="24"/>
      <c r="J88" s="24"/>
    </row>
    <row r="89" spans="9:10" x14ac:dyDescent="0.25">
      <c r="I89" s="24"/>
      <c r="J89" s="24"/>
    </row>
    <row r="90" spans="9:10" x14ac:dyDescent="0.25">
      <c r="I90" s="24"/>
      <c r="J90" s="24"/>
    </row>
    <row r="91" spans="9:10" x14ac:dyDescent="0.25">
      <c r="I91" s="24"/>
      <c r="J91" s="24"/>
    </row>
    <row r="92" spans="9:10" x14ac:dyDescent="0.25">
      <c r="I92" s="24"/>
      <c r="J92" s="24"/>
    </row>
    <row r="93" spans="9:10" x14ac:dyDescent="0.25">
      <c r="I93" s="24"/>
      <c r="J93" s="24"/>
    </row>
    <row r="94" spans="9:10" x14ac:dyDescent="0.25">
      <c r="I94" s="24"/>
      <c r="J94" s="24"/>
    </row>
    <row r="95" spans="9:10" x14ac:dyDescent="0.25">
      <c r="I95" s="24"/>
      <c r="J95" s="24"/>
    </row>
    <row r="96" spans="9:10" x14ac:dyDescent="0.25">
      <c r="I96" s="24"/>
      <c r="J96" s="24"/>
    </row>
    <row r="97" spans="9:10" x14ac:dyDescent="0.25">
      <c r="I97" s="24"/>
      <c r="J97" s="24"/>
    </row>
    <row r="98" spans="9:10" x14ac:dyDescent="0.25">
      <c r="I98" s="24"/>
      <c r="J98" s="24"/>
    </row>
    <row r="99" spans="9:10" x14ac:dyDescent="0.25">
      <c r="I99" s="24"/>
      <c r="J99" s="24"/>
    </row>
    <row r="100" spans="9:10" x14ac:dyDescent="0.25">
      <c r="I100" s="24"/>
      <c r="J100" s="24"/>
    </row>
    <row r="101" spans="9:10" x14ac:dyDescent="0.25">
      <c r="I101" s="24"/>
      <c r="J101" s="24"/>
    </row>
    <row r="102" spans="9:10" x14ac:dyDescent="0.25">
      <c r="I102" s="24"/>
      <c r="J102" s="24"/>
    </row>
    <row r="103" spans="9:10" x14ac:dyDescent="0.25">
      <c r="I103" s="24"/>
      <c r="J103" s="24"/>
    </row>
    <row r="104" spans="9:10" x14ac:dyDescent="0.25">
      <c r="I104" s="24"/>
      <c r="J104" s="24"/>
    </row>
    <row r="105" spans="9:10" x14ac:dyDescent="0.25">
      <c r="I105" s="24"/>
      <c r="J105" s="24"/>
    </row>
    <row r="106" spans="9:10" x14ac:dyDescent="0.25">
      <c r="I106" s="24"/>
      <c r="J106" s="24"/>
    </row>
    <row r="107" spans="9:10" x14ac:dyDescent="0.25">
      <c r="I107" s="24"/>
      <c r="J107" s="24"/>
    </row>
    <row r="108" spans="9:10" x14ac:dyDescent="0.25">
      <c r="I108" s="24"/>
      <c r="J108" s="24"/>
    </row>
    <row r="109" spans="9:10" x14ac:dyDescent="0.25">
      <c r="I109" s="24"/>
      <c r="J109" s="24"/>
    </row>
    <row r="110" spans="9:10" x14ac:dyDescent="0.25">
      <c r="I110" s="24"/>
      <c r="J110" s="24"/>
    </row>
    <row r="111" spans="9:10" x14ac:dyDescent="0.25">
      <c r="I111" s="24"/>
      <c r="J111" s="24"/>
    </row>
    <row r="112" spans="9:10" x14ac:dyDescent="0.25">
      <c r="I112" s="24"/>
      <c r="J112" s="24"/>
    </row>
    <row r="113" spans="9:10" x14ac:dyDescent="0.25">
      <c r="I113" s="24"/>
      <c r="J113" s="24"/>
    </row>
    <row r="114" spans="9:10" x14ac:dyDescent="0.25">
      <c r="I114" s="24"/>
      <c r="J114" s="24"/>
    </row>
    <row r="115" spans="9:10" x14ac:dyDescent="0.25">
      <c r="I115" s="24"/>
      <c r="J115" s="24"/>
    </row>
    <row r="116" spans="9:10" x14ac:dyDescent="0.25">
      <c r="I116" s="24"/>
      <c r="J116" s="24"/>
    </row>
    <row r="117" spans="9:10" x14ac:dyDescent="0.25">
      <c r="I117" s="24"/>
      <c r="J117" s="24"/>
    </row>
    <row r="118" spans="9:10" x14ac:dyDescent="0.25">
      <c r="I118" s="24"/>
      <c r="J118" s="24"/>
    </row>
    <row r="119" spans="9:10" x14ac:dyDescent="0.25">
      <c r="I119" s="24"/>
      <c r="J119" s="24"/>
    </row>
    <row r="120" spans="9:10" x14ac:dyDescent="0.25">
      <c r="I120" s="24"/>
      <c r="J120" s="24"/>
    </row>
    <row r="121" spans="9:10" x14ac:dyDescent="0.25">
      <c r="I121" s="24"/>
      <c r="J121" s="24"/>
    </row>
    <row r="122" spans="9:10" x14ac:dyDescent="0.25">
      <c r="I122" s="24"/>
      <c r="J122" s="24"/>
    </row>
    <row r="123" spans="9:10" x14ac:dyDescent="0.25">
      <c r="I123" s="24"/>
      <c r="J123" s="24"/>
    </row>
    <row r="124" spans="9:10" x14ac:dyDescent="0.25">
      <c r="I124" s="24"/>
      <c r="J124" s="24"/>
    </row>
    <row r="125" spans="9:10" x14ac:dyDescent="0.25">
      <c r="I125" s="24"/>
      <c r="J125" s="24"/>
    </row>
    <row r="126" spans="9:10" x14ac:dyDescent="0.25">
      <c r="I126" s="24"/>
      <c r="J126" s="24"/>
    </row>
    <row r="127" spans="9:10" x14ac:dyDescent="0.25">
      <c r="I127" s="24"/>
      <c r="J127" s="24"/>
    </row>
    <row r="128" spans="9:10" x14ac:dyDescent="0.25">
      <c r="I128" s="24"/>
      <c r="J128" s="24"/>
    </row>
    <row r="129" spans="9:10" x14ac:dyDescent="0.25">
      <c r="I129" s="24"/>
      <c r="J129" s="24"/>
    </row>
    <row r="130" spans="9:10" x14ac:dyDescent="0.25">
      <c r="I130" s="24"/>
      <c r="J130" s="24"/>
    </row>
    <row r="131" spans="9:10" x14ac:dyDescent="0.25">
      <c r="I131" s="24"/>
      <c r="J131" s="24"/>
    </row>
    <row r="132" spans="9:10" x14ac:dyDescent="0.25">
      <c r="I132" s="24"/>
      <c r="J132" s="24"/>
    </row>
    <row r="133" spans="9:10" x14ac:dyDescent="0.25">
      <c r="I133" s="24"/>
      <c r="J133" s="24"/>
    </row>
    <row r="134" spans="9:10" x14ac:dyDescent="0.25">
      <c r="I134" s="24"/>
      <c r="J134" s="24"/>
    </row>
    <row r="135" spans="9:10" x14ac:dyDescent="0.25">
      <c r="I135" s="24"/>
      <c r="J135" s="24"/>
    </row>
    <row r="136" spans="9:10" x14ac:dyDescent="0.25">
      <c r="I136" s="24"/>
      <c r="J136" s="24"/>
    </row>
    <row r="137" spans="9:10" x14ac:dyDescent="0.25">
      <c r="I137" s="24"/>
      <c r="J137" s="24"/>
    </row>
    <row r="138" spans="9:10" x14ac:dyDescent="0.25">
      <c r="I138" s="24"/>
      <c r="J138" s="24"/>
    </row>
    <row r="139" spans="9:10" x14ac:dyDescent="0.25">
      <c r="I139" s="24"/>
      <c r="J139" s="24"/>
    </row>
    <row r="140" spans="9:10" x14ac:dyDescent="0.25">
      <c r="I140" s="24"/>
      <c r="J140" s="24"/>
    </row>
    <row r="141" spans="9:10" x14ac:dyDescent="0.25">
      <c r="I141" s="24"/>
      <c r="J141" s="24"/>
    </row>
    <row r="142" spans="9:10" x14ac:dyDescent="0.25">
      <c r="I142" s="24"/>
      <c r="J142" s="24"/>
    </row>
    <row r="143" spans="9:10" x14ac:dyDescent="0.25">
      <c r="I143" s="24"/>
      <c r="J143" s="24"/>
    </row>
    <row r="144" spans="9:10" x14ac:dyDescent="0.25">
      <c r="I144" s="24"/>
      <c r="J144" s="24"/>
    </row>
    <row r="145" spans="9:10" x14ac:dyDescent="0.25">
      <c r="I145" s="24"/>
      <c r="J145" s="24"/>
    </row>
    <row r="146" spans="9:10" x14ac:dyDescent="0.25">
      <c r="I146" s="24"/>
      <c r="J146" s="24"/>
    </row>
    <row r="147" spans="9:10" x14ac:dyDescent="0.25">
      <c r="I147" s="24"/>
      <c r="J147" s="24"/>
    </row>
    <row r="148" spans="9:10" x14ac:dyDescent="0.25">
      <c r="I148" s="24"/>
      <c r="J148" s="24"/>
    </row>
    <row r="149" spans="9:10" x14ac:dyDescent="0.25">
      <c r="I149" s="24"/>
      <c r="J149" s="24"/>
    </row>
    <row r="150" spans="9:10" x14ac:dyDescent="0.25">
      <c r="I150" s="24"/>
      <c r="J150" s="24"/>
    </row>
  </sheetData>
  <sortState ref="G31:G88">
    <sortCondition ref="G31:G88"/>
  </sortState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B3:J72"/>
  <sheetViews>
    <sheetView showGridLines="0" zoomScale="80" zoomScaleNormal="80" workbookViewId="0">
      <selection activeCell="B2" sqref="B2"/>
    </sheetView>
  </sheetViews>
  <sheetFormatPr defaultColWidth="9.109375" defaultRowHeight="13.2" x14ac:dyDescent="0.25"/>
  <cols>
    <col min="1" max="1" width="2.6640625" style="171" customWidth="1"/>
    <col min="2" max="2" width="73.77734375" style="171" customWidth="1"/>
    <col min="3" max="3" width="11.109375" style="170" customWidth="1"/>
    <col min="4" max="4" width="10.5546875" style="170" customWidth="1"/>
    <col min="5" max="5" width="12.44140625" style="171" customWidth="1"/>
    <col min="6" max="6" width="12" style="171" customWidth="1"/>
    <col min="7" max="7" width="13.44140625" style="171" customWidth="1"/>
    <col min="8" max="8" width="0" style="171" hidden="1" customWidth="1"/>
    <col min="9" max="9" width="11.44140625" style="171" customWidth="1"/>
    <col min="10" max="10" width="10.109375" style="171" customWidth="1"/>
    <col min="11" max="11" width="10.109375" style="171" bestFit="1" customWidth="1"/>
    <col min="12" max="12" width="51.77734375" style="171" customWidth="1"/>
    <col min="13" max="16384" width="9.109375" style="171"/>
  </cols>
  <sheetData>
    <row r="3" spans="2:10" ht="21.6" thickBot="1" x14ac:dyDescent="0.45">
      <c r="B3" s="169" t="s">
        <v>347</v>
      </c>
    </row>
    <row r="4" spans="2:10" s="170" customFormat="1" ht="13.8" thickTop="1" x14ac:dyDescent="0.25">
      <c r="B4" s="456" t="s">
        <v>536</v>
      </c>
      <c r="C4" s="281" t="s">
        <v>537</v>
      </c>
      <c r="D4" s="281" t="s">
        <v>499</v>
      </c>
      <c r="E4" s="458" t="s">
        <v>640</v>
      </c>
      <c r="F4" s="344" t="s">
        <v>540</v>
      </c>
      <c r="G4" s="459" t="s">
        <v>641</v>
      </c>
    </row>
    <row r="5" spans="2:10" s="170" customFormat="1" ht="13.5" customHeight="1" thickBot="1" x14ac:dyDescent="0.3">
      <c r="B5" s="457"/>
      <c r="C5" s="337" t="s">
        <v>538</v>
      </c>
      <c r="D5" s="337" t="s">
        <v>538</v>
      </c>
      <c r="E5" s="451"/>
      <c r="F5" s="339" t="s">
        <v>500</v>
      </c>
      <c r="G5" s="453"/>
    </row>
    <row r="6" spans="2:10" s="170" customFormat="1" x14ac:dyDescent="0.25">
      <c r="B6" s="282" t="s">
        <v>431</v>
      </c>
      <c r="C6" s="340">
        <v>692</v>
      </c>
      <c r="D6" s="176">
        <v>556</v>
      </c>
      <c r="E6" s="283">
        <v>855</v>
      </c>
      <c r="F6" s="290">
        <v>1248</v>
      </c>
      <c r="G6" s="378">
        <v>1485</v>
      </c>
    </row>
    <row r="7" spans="2:10" s="170" customFormat="1" ht="13.8" thickBot="1" x14ac:dyDescent="0.3">
      <c r="B7" s="284" t="s">
        <v>432</v>
      </c>
      <c r="C7" s="285" t="s">
        <v>541</v>
      </c>
      <c r="D7" s="175" t="s">
        <v>501</v>
      </c>
      <c r="E7" s="286" t="s">
        <v>507</v>
      </c>
      <c r="F7" s="285" t="s">
        <v>542</v>
      </c>
      <c r="G7" s="286" t="s">
        <v>543</v>
      </c>
    </row>
    <row r="8" spans="2:10" s="170" customFormat="1" x14ac:dyDescent="0.25">
      <c r="B8" s="282" t="s">
        <v>433</v>
      </c>
      <c r="C8" s="340"/>
      <c r="D8" s="176"/>
      <c r="E8" s="283"/>
      <c r="F8" s="340"/>
      <c r="G8" s="283"/>
    </row>
    <row r="9" spans="2:10" s="170" customFormat="1" x14ac:dyDescent="0.25">
      <c r="B9" s="282" t="s">
        <v>349</v>
      </c>
      <c r="C9" s="340">
        <v>437</v>
      </c>
      <c r="D9" s="176">
        <v>243</v>
      </c>
      <c r="E9" s="283">
        <v>483</v>
      </c>
      <c r="F9" s="340">
        <v>680</v>
      </c>
      <c r="G9" s="283">
        <v>785</v>
      </c>
    </row>
    <row r="10" spans="2:10" s="170" customFormat="1" x14ac:dyDescent="0.25">
      <c r="B10" s="282" t="s">
        <v>350</v>
      </c>
      <c r="C10" s="340">
        <v>145</v>
      </c>
      <c r="D10" s="176">
        <v>171</v>
      </c>
      <c r="E10" s="283">
        <v>183</v>
      </c>
      <c r="F10" s="340">
        <v>316</v>
      </c>
      <c r="G10" s="283">
        <v>364</v>
      </c>
    </row>
    <row r="11" spans="2:10" s="170" customFormat="1" x14ac:dyDescent="0.25">
      <c r="B11" s="282" t="s">
        <v>351</v>
      </c>
      <c r="C11" s="340">
        <v>163</v>
      </c>
      <c r="D11" s="176">
        <v>137</v>
      </c>
      <c r="E11" s="283">
        <v>177</v>
      </c>
      <c r="F11" s="340">
        <v>299</v>
      </c>
      <c r="G11" s="283">
        <v>292</v>
      </c>
    </row>
    <row r="12" spans="2:10" s="170" customFormat="1" ht="13.8" thickBot="1" x14ac:dyDescent="0.3">
      <c r="B12" s="284" t="s">
        <v>352</v>
      </c>
      <c r="C12" s="285">
        <v>-53</v>
      </c>
      <c r="D12" s="175">
        <v>5</v>
      </c>
      <c r="E12" s="286">
        <v>12</v>
      </c>
      <c r="F12" s="285">
        <v>-48</v>
      </c>
      <c r="G12" s="286">
        <v>45</v>
      </c>
    </row>
    <row r="13" spans="2:10" s="170" customFormat="1" ht="13.8" thickBot="1" x14ac:dyDescent="0.3">
      <c r="B13" s="345" t="s">
        <v>353</v>
      </c>
      <c r="C13" s="287" t="s">
        <v>544</v>
      </c>
      <c r="D13" s="288" t="s">
        <v>503</v>
      </c>
      <c r="E13" s="289" t="s">
        <v>545</v>
      </c>
      <c r="F13" s="287" t="s">
        <v>544</v>
      </c>
      <c r="G13" s="289" t="s">
        <v>545</v>
      </c>
    </row>
    <row r="14" spans="2:10" s="170" customFormat="1" ht="18.600000000000001" thickTop="1" thickBot="1" x14ac:dyDescent="0.3">
      <c r="B14" s="377"/>
      <c r="C14" s="90"/>
      <c r="D14" s="90"/>
      <c r="E14" s="90"/>
      <c r="F14" s="90"/>
    </row>
    <row r="15" spans="2:10" ht="9.4499999999999993" customHeight="1" thickTop="1" x14ac:dyDescent="0.2">
      <c r="B15" s="342" t="s">
        <v>435</v>
      </c>
      <c r="C15" s="281" t="s">
        <v>537</v>
      </c>
      <c r="D15" s="281" t="s">
        <v>499</v>
      </c>
      <c r="E15" s="281" t="s">
        <v>455</v>
      </c>
      <c r="F15" s="336" t="s">
        <v>453</v>
      </c>
      <c r="G15" s="336" t="s">
        <v>567</v>
      </c>
      <c r="H15" s="336"/>
      <c r="I15" s="434" t="s">
        <v>547</v>
      </c>
      <c r="J15" s="434" t="s">
        <v>548</v>
      </c>
    </row>
    <row r="16" spans="2:10" ht="13.8" thickBot="1" x14ac:dyDescent="0.25">
      <c r="B16" s="343" t="s">
        <v>354</v>
      </c>
      <c r="C16" s="337" t="s">
        <v>538</v>
      </c>
      <c r="D16" s="337" t="s">
        <v>538</v>
      </c>
      <c r="E16" s="337" t="s">
        <v>546</v>
      </c>
      <c r="F16" s="337" t="s">
        <v>539</v>
      </c>
      <c r="G16" s="337" t="s">
        <v>539</v>
      </c>
      <c r="H16" s="337"/>
      <c r="I16" s="435"/>
      <c r="J16" s="435"/>
    </row>
    <row r="17" spans="2:10" ht="9" customHeight="1" x14ac:dyDescent="0.2">
      <c r="B17" s="282" t="s">
        <v>328</v>
      </c>
      <c r="C17" s="290">
        <v>1117</v>
      </c>
      <c r="D17" s="172">
        <v>1125</v>
      </c>
      <c r="E17" s="172">
        <v>1029</v>
      </c>
      <c r="F17" s="172">
        <v>1039</v>
      </c>
      <c r="G17" s="390">
        <v>1028</v>
      </c>
      <c r="H17" s="390"/>
      <c r="I17" s="290">
        <v>2242</v>
      </c>
      <c r="J17" s="378">
        <v>2052</v>
      </c>
    </row>
    <row r="18" spans="2:10" ht="9" customHeight="1" x14ac:dyDescent="0.2">
      <c r="B18" s="291" t="s">
        <v>329</v>
      </c>
      <c r="C18" s="340">
        <v>202</v>
      </c>
      <c r="D18" s="176">
        <v>162</v>
      </c>
      <c r="E18" s="176">
        <v>152</v>
      </c>
      <c r="F18" s="176">
        <v>188</v>
      </c>
      <c r="G18" s="338">
        <v>179</v>
      </c>
      <c r="H18" s="338"/>
      <c r="I18" s="340">
        <v>364</v>
      </c>
      <c r="J18" s="283">
        <v>366</v>
      </c>
    </row>
    <row r="19" spans="2:10" x14ac:dyDescent="0.2">
      <c r="B19" s="292" t="s">
        <v>330</v>
      </c>
      <c r="C19" s="293">
        <v>392</v>
      </c>
      <c r="D19" s="294">
        <v>378</v>
      </c>
      <c r="E19" s="294">
        <v>384</v>
      </c>
      <c r="F19" s="294">
        <v>378</v>
      </c>
      <c r="G19" s="295">
        <v>369</v>
      </c>
      <c r="H19" s="295"/>
      <c r="I19" s="293">
        <v>770</v>
      </c>
      <c r="J19" s="379">
        <v>729</v>
      </c>
    </row>
    <row r="20" spans="2:10" x14ac:dyDescent="0.2">
      <c r="B20" s="292" t="s">
        <v>331</v>
      </c>
      <c r="C20" s="293">
        <v>-190</v>
      </c>
      <c r="D20" s="294">
        <v>-216</v>
      </c>
      <c r="E20" s="294">
        <v>-232</v>
      </c>
      <c r="F20" s="294">
        <v>-190</v>
      </c>
      <c r="G20" s="295">
        <v>-190</v>
      </c>
      <c r="H20" s="295"/>
      <c r="I20" s="293">
        <v>-406</v>
      </c>
      <c r="J20" s="379">
        <v>-363</v>
      </c>
    </row>
    <row r="21" spans="2:10" ht="9" customHeight="1" x14ac:dyDescent="0.2">
      <c r="B21" s="291" t="s">
        <v>332</v>
      </c>
      <c r="C21" s="340">
        <v>1</v>
      </c>
      <c r="D21" s="176">
        <v>-7</v>
      </c>
      <c r="E21" s="176">
        <v>-3</v>
      </c>
      <c r="F21" s="176">
        <v>-3</v>
      </c>
      <c r="G21" s="338">
        <v>-24</v>
      </c>
      <c r="H21" s="338"/>
      <c r="I21" s="340">
        <v>-5</v>
      </c>
      <c r="J21" s="283">
        <v>-52</v>
      </c>
    </row>
    <row r="22" spans="2:10" x14ac:dyDescent="0.2">
      <c r="B22" s="292" t="s">
        <v>330</v>
      </c>
      <c r="C22" s="293">
        <v>315</v>
      </c>
      <c r="D22" s="294">
        <v>336</v>
      </c>
      <c r="E22" s="294">
        <v>410</v>
      </c>
      <c r="F22" s="294">
        <v>282</v>
      </c>
      <c r="G22" s="295">
        <v>267</v>
      </c>
      <c r="H22" s="295"/>
      <c r="I22" s="293">
        <v>651</v>
      </c>
      <c r="J22" s="379">
        <v>579</v>
      </c>
    </row>
    <row r="23" spans="2:10" x14ac:dyDescent="0.2">
      <c r="B23" s="292" t="s">
        <v>331</v>
      </c>
      <c r="C23" s="293">
        <v>-314</v>
      </c>
      <c r="D23" s="294">
        <v>-343</v>
      </c>
      <c r="E23" s="294">
        <v>-414</v>
      </c>
      <c r="F23" s="294">
        <v>-284</v>
      </c>
      <c r="G23" s="295">
        <v>-291</v>
      </c>
      <c r="H23" s="295"/>
      <c r="I23" s="293">
        <v>-656</v>
      </c>
      <c r="J23" s="379">
        <v>-631</v>
      </c>
    </row>
    <row r="24" spans="2:10" ht="9" customHeight="1" x14ac:dyDescent="0.2">
      <c r="B24" s="282" t="s">
        <v>333</v>
      </c>
      <c r="C24" s="340">
        <v>-14</v>
      </c>
      <c r="D24" s="176">
        <v>-9</v>
      </c>
      <c r="E24" s="176">
        <v>-10</v>
      </c>
      <c r="F24" s="176">
        <v>16</v>
      </c>
      <c r="G24" s="338">
        <v>-10</v>
      </c>
      <c r="H24" s="338"/>
      <c r="I24" s="340">
        <v>-23</v>
      </c>
      <c r="J24" s="283">
        <v>-13</v>
      </c>
    </row>
    <row r="25" spans="2:10" ht="9" customHeight="1" x14ac:dyDescent="0.2">
      <c r="B25" s="282" t="s">
        <v>334</v>
      </c>
      <c r="C25" s="340">
        <v>34</v>
      </c>
      <c r="D25" s="176">
        <v>21</v>
      </c>
      <c r="E25" s="176">
        <v>8</v>
      </c>
      <c r="F25" s="176">
        <v>11</v>
      </c>
      <c r="G25" s="338">
        <v>30</v>
      </c>
      <c r="H25" s="338"/>
      <c r="I25" s="340">
        <v>55</v>
      </c>
      <c r="J25" s="283">
        <v>44</v>
      </c>
    </row>
    <row r="26" spans="2:10" ht="15.6" x14ac:dyDescent="0.2">
      <c r="B26" s="282" t="s">
        <v>517</v>
      </c>
      <c r="C26" s="340">
        <v>54</v>
      </c>
      <c r="D26" s="176">
        <v>96</v>
      </c>
      <c r="E26" s="176">
        <v>235</v>
      </c>
      <c r="F26" s="176">
        <v>182</v>
      </c>
      <c r="G26" s="338">
        <v>249</v>
      </c>
      <c r="H26" s="338"/>
      <c r="I26" s="340">
        <v>150</v>
      </c>
      <c r="J26" s="283">
        <v>439</v>
      </c>
    </row>
    <row r="27" spans="2:10" ht="9" customHeight="1" x14ac:dyDescent="0.2">
      <c r="B27" s="282" t="s">
        <v>335</v>
      </c>
      <c r="C27" s="340" t="s">
        <v>276</v>
      </c>
      <c r="D27" s="176" t="s">
        <v>276</v>
      </c>
      <c r="E27" s="176">
        <v>51</v>
      </c>
      <c r="F27" s="176">
        <v>51</v>
      </c>
      <c r="G27" s="338">
        <v>52</v>
      </c>
      <c r="H27" s="338"/>
      <c r="I27" s="340" t="s">
        <v>276</v>
      </c>
      <c r="J27" s="283">
        <v>97</v>
      </c>
    </row>
    <row r="28" spans="2:10" ht="9" customHeight="1" x14ac:dyDescent="0.2">
      <c r="B28" s="282" t="s">
        <v>504</v>
      </c>
      <c r="C28" s="340">
        <v>8</v>
      </c>
      <c r="D28" s="176">
        <v>1</v>
      </c>
      <c r="E28" s="176" t="s">
        <v>276</v>
      </c>
      <c r="F28" s="176" t="s">
        <v>276</v>
      </c>
      <c r="G28" s="338" t="s">
        <v>276</v>
      </c>
      <c r="H28" s="338"/>
      <c r="I28" s="340">
        <v>9</v>
      </c>
      <c r="J28" s="283" t="s">
        <v>276</v>
      </c>
    </row>
    <row r="29" spans="2:10" ht="9" customHeight="1" x14ac:dyDescent="0.2">
      <c r="B29" s="282" t="s">
        <v>336</v>
      </c>
      <c r="C29" s="340">
        <v>438</v>
      </c>
      <c r="D29" s="176">
        <v>450</v>
      </c>
      <c r="E29" s="176">
        <v>430</v>
      </c>
      <c r="F29" s="176">
        <v>408</v>
      </c>
      <c r="G29" s="338">
        <v>430</v>
      </c>
      <c r="H29" s="338"/>
      <c r="I29" s="340">
        <v>889</v>
      </c>
      <c r="J29" s="283">
        <v>869</v>
      </c>
    </row>
    <row r="30" spans="2:10" ht="13.8" thickBot="1" x14ac:dyDescent="0.25">
      <c r="B30" s="284" t="s">
        <v>337</v>
      </c>
      <c r="C30" s="285">
        <v>23</v>
      </c>
      <c r="D30" s="175">
        <v>71</v>
      </c>
      <c r="E30" s="175">
        <v>-14</v>
      </c>
      <c r="F30" s="175">
        <v>4</v>
      </c>
      <c r="G30" s="178">
        <v>47</v>
      </c>
      <c r="H30" s="178"/>
      <c r="I30" s="285">
        <v>94</v>
      </c>
      <c r="J30" s="286">
        <v>124</v>
      </c>
    </row>
    <row r="31" spans="2:10" ht="13.8" thickBot="1" x14ac:dyDescent="0.25">
      <c r="B31" s="284" t="s">
        <v>338</v>
      </c>
      <c r="C31" s="296">
        <v>1863</v>
      </c>
      <c r="D31" s="173">
        <v>1912</v>
      </c>
      <c r="E31" s="173">
        <v>1878</v>
      </c>
      <c r="F31" s="173">
        <v>1896</v>
      </c>
      <c r="G31" s="391">
        <v>1980</v>
      </c>
      <c r="H31" s="391"/>
      <c r="I31" s="296">
        <v>3775</v>
      </c>
      <c r="J31" s="380">
        <v>3926</v>
      </c>
    </row>
    <row r="32" spans="2:10" ht="9" customHeight="1" x14ac:dyDescent="0.2">
      <c r="B32" s="282" t="s">
        <v>303</v>
      </c>
      <c r="C32" s="340">
        <v>-966</v>
      </c>
      <c r="D32" s="176" t="s">
        <v>505</v>
      </c>
      <c r="E32" s="172">
        <v>-1021</v>
      </c>
      <c r="F32" s="176">
        <v>-914</v>
      </c>
      <c r="G32" s="177">
        <v>-910</v>
      </c>
      <c r="H32" s="177"/>
      <c r="I32" s="290">
        <v>-2257</v>
      </c>
      <c r="J32" s="378">
        <v>-2139</v>
      </c>
    </row>
    <row r="33" spans="2:10" ht="9" customHeight="1" x14ac:dyDescent="0.2">
      <c r="B33" s="282" t="s">
        <v>304</v>
      </c>
      <c r="C33" s="340">
        <v>1</v>
      </c>
      <c r="D33" s="176">
        <v>56</v>
      </c>
      <c r="E33" s="176">
        <v>-2</v>
      </c>
      <c r="F33" s="176">
        <v>-31</v>
      </c>
      <c r="G33" s="338">
        <v>71</v>
      </c>
      <c r="H33" s="338"/>
      <c r="I33" s="340">
        <v>58</v>
      </c>
      <c r="J33" s="283">
        <v>64</v>
      </c>
    </row>
    <row r="34" spans="2:10" ht="15.6" x14ac:dyDescent="0.2">
      <c r="B34" s="282" t="s">
        <v>563</v>
      </c>
      <c r="C34" s="340" t="s">
        <v>276</v>
      </c>
      <c r="D34" s="176" t="s">
        <v>276</v>
      </c>
      <c r="E34" s="176">
        <v>30</v>
      </c>
      <c r="F34" s="176">
        <v>-15</v>
      </c>
      <c r="G34" s="338">
        <v>78</v>
      </c>
      <c r="H34" s="338"/>
      <c r="I34" s="340" t="s">
        <v>276</v>
      </c>
      <c r="J34" s="283">
        <v>72</v>
      </c>
    </row>
    <row r="35" spans="2:10" ht="28.8" x14ac:dyDescent="0.2">
      <c r="B35" s="381" t="s">
        <v>564</v>
      </c>
      <c r="C35" s="340">
        <v>21</v>
      </c>
      <c r="D35" s="176">
        <v>63</v>
      </c>
      <c r="E35" s="176" t="s">
        <v>276</v>
      </c>
      <c r="F35" s="176" t="s">
        <v>276</v>
      </c>
      <c r="G35" s="338" t="s">
        <v>276</v>
      </c>
      <c r="H35" s="338"/>
      <c r="I35" s="340">
        <v>84</v>
      </c>
      <c r="J35" s="283" t="s">
        <v>276</v>
      </c>
    </row>
    <row r="36" spans="2:10" ht="13.8" thickBot="1" x14ac:dyDescent="0.25">
      <c r="B36" s="284" t="s">
        <v>549</v>
      </c>
      <c r="C36" s="285">
        <v>3</v>
      </c>
      <c r="D36" s="175">
        <v>6</v>
      </c>
      <c r="E36" s="175">
        <v>-5</v>
      </c>
      <c r="F36" s="175">
        <v>8</v>
      </c>
      <c r="G36" s="178">
        <v>3</v>
      </c>
      <c r="H36" s="178"/>
      <c r="I36" s="285">
        <v>10</v>
      </c>
      <c r="J36" s="286">
        <v>8</v>
      </c>
    </row>
    <row r="37" spans="2:10" ht="13.8" thickBot="1" x14ac:dyDescent="0.25">
      <c r="B37" s="284" t="s">
        <v>339</v>
      </c>
      <c r="C37" s="285">
        <v>901</v>
      </c>
      <c r="D37" s="175">
        <v>683</v>
      </c>
      <c r="E37" s="175">
        <v>850</v>
      </c>
      <c r="F37" s="175">
        <v>959</v>
      </c>
      <c r="G37" s="391">
        <v>1144</v>
      </c>
      <c r="H37" s="391"/>
      <c r="I37" s="296">
        <v>1585</v>
      </c>
      <c r="J37" s="380">
        <v>1858</v>
      </c>
    </row>
    <row r="38" spans="2:10" ht="13.8" thickBot="1" x14ac:dyDescent="0.25">
      <c r="B38" s="282" t="s">
        <v>340</v>
      </c>
      <c r="C38" s="340">
        <v>-210</v>
      </c>
      <c r="D38" s="176">
        <v>-127</v>
      </c>
      <c r="E38" s="176">
        <v>-451</v>
      </c>
      <c r="F38" s="176">
        <v>-268</v>
      </c>
      <c r="G38" s="300">
        <v>-288</v>
      </c>
      <c r="H38" s="300"/>
      <c r="I38" s="340">
        <v>-337</v>
      </c>
      <c r="J38" s="283">
        <v>-373</v>
      </c>
    </row>
    <row r="39" spans="2:10" ht="13.8" thickBot="1" x14ac:dyDescent="0.25">
      <c r="B39" s="297" t="s">
        <v>341</v>
      </c>
      <c r="C39" s="298">
        <v>692</v>
      </c>
      <c r="D39" s="299">
        <v>556</v>
      </c>
      <c r="E39" s="299">
        <v>398</v>
      </c>
      <c r="F39" s="299">
        <v>691</v>
      </c>
      <c r="G39" s="300">
        <v>855</v>
      </c>
      <c r="H39" s="300"/>
      <c r="I39" s="382">
        <v>1248</v>
      </c>
      <c r="J39" s="383">
        <v>1485</v>
      </c>
    </row>
    <row r="40" spans="2:10" ht="9" customHeight="1" x14ac:dyDescent="0.2">
      <c r="B40" s="282" t="s">
        <v>436</v>
      </c>
      <c r="C40" s="340">
        <v>0</v>
      </c>
      <c r="D40" s="176">
        <v>0</v>
      </c>
      <c r="E40" s="176">
        <v>0</v>
      </c>
      <c r="F40" s="176">
        <v>0</v>
      </c>
      <c r="G40" s="177">
        <v>0</v>
      </c>
      <c r="H40" s="177"/>
      <c r="I40" s="340">
        <v>0</v>
      </c>
      <c r="J40" s="283">
        <v>0</v>
      </c>
    </row>
    <row r="41" spans="2:10" ht="13.8" thickBot="1" x14ac:dyDescent="0.25">
      <c r="B41" s="301" t="s">
        <v>437</v>
      </c>
      <c r="C41" s="336">
        <v>692</v>
      </c>
      <c r="D41" s="302">
        <v>556</v>
      </c>
      <c r="E41" s="302">
        <v>399</v>
      </c>
      <c r="F41" s="302">
        <v>691</v>
      </c>
      <c r="G41" s="392">
        <v>855</v>
      </c>
      <c r="H41" s="392"/>
      <c r="I41" s="384">
        <v>1248</v>
      </c>
      <c r="J41" s="385">
        <v>1485</v>
      </c>
    </row>
    <row r="42" spans="2:10" ht="9" customHeight="1" x14ac:dyDescent="0.2">
      <c r="B42" s="303" t="s">
        <v>438</v>
      </c>
      <c r="C42" s="304" t="s">
        <v>541</v>
      </c>
      <c r="D42" s="174" t="s">
        <v>501</v>
      </c>
      <c r="E42" s="174" t="s">
        <v>502</v>
      </c>
      <c r="F42" s="174" t="s">
        <v>506</v>
      </c>
      <c r="G42" s="177" t="s">
        <v>507</v>
      </c>
      <c r="H42" s="177"/>
      <c r="I42" s="304" t="s">
        <v>542</v>
      </c>
      <c r="J42" s="386" t="s">
        <v>543</v>
      </c>
    </row>
    <row r="43" spans="2:10" ht="13.8" thickBot="1" x14ac:dyDescent="0.25">
      <c r="B43" s="305" t="s">
        <v>439</v>
      </c>
      <c r="C43" s="341" t="s">
        <v>541</v>
      </c>
      <c r="D43" s="306" t="s">
        <v>501</v>
      </c>
      <c r="E43" s="306" t="s">
        <v>502</v>
      </c>
      <c r="F43" s="306" t="s">
        <v>506</v>
      </c>
      <c r="G43" s="307" t="s">
        <v>507</v>
      </c>
      <c r="H43" s="307"/>
      <c r="I43" s="341" t="s">
        <v>542</v>
      </c>
      <c r="J43" s="387" t="s">
        <v>543</v>
      </c>
    </row>
    <row r="44" spans="2:10" x14ac:dyDescent="0.2">
      <c r="B44" s="308"/>
      <c r="C44" s="340"/>
      <c r="D44" s="340"/>
      <c r="E44" s="340"/>
      <c r="F44" s="340"/>
      <c r="G44" s="454"/>
      <c r="H44" s="455"/>
      <c r="I44" s="388"/>
      <c r="J44" s="388"/>
    </row>
    <row r="45" spans="2:10" ht="12.45" customHeight="1" x14ac:dyDescent="0.2">
      <c r="B45" s="309" t="s">
        <v>356</v>
      </c>
      <c r="C45" s="434" t="s">
        <v>550</v>
      </c>
      <c r="D45" s="434" t="s">
        <v>551</v>
      </c>
      <c r="E45" s="434" t="s">
        <v>552</v>
      </c>
      <c r="F45" s="434" t="s">
        <v>553</v>
      </c>
      <c r="G45" s="434" t="s">
        <v>554</v>
      </c>
      <c r="H45" s="393"/>
      <c r="I45" s="450"/>
      <c r="J45" s="452"/>
    </row>
    <row r="46" spans="2:10" ht="13.8" thickBot="1" x14ac:dyDescent="0.25">
      <c r="B46" s="343" t="s">
        <v>354</v>
      </c>
      <c r="C46" s="435"/>
      <c r="D46" s="435"/>
      <c r="E46" s="435"/>
      <c r="F46" s="435"/>
      <c r="G46" s="435"/>
      <c r="H46" s="394"/>
      <c r="I46" s="451"/>
      <c r="J46" s="453"/>
    </row>
    <row r="47" spans="2:10" ht="13.8" customHeight="1" x14ac:dyDescent="0.2">
      <c r="B47" s="282" t="s">
        <v>357</v>
      </c>
      <c r="C47" s="290">
        <v>301934</v>
      </c>
      <c r="D47" s="172">
        <v>304022</v>
      </c>
      <c r="E47" s="172">
        <v>292342</v>
      </c>
      <c r="F47" s="172">
        <v>296885</v>
      </c>
      <c r="G47" s="395">
        <v>296479</v>
      </c>
      <c r="H47" s="395"/>
      <c r="I47" s="338"/>
      <c r="J47" s="283"/>
    </row>
    <row r="48" spans="2:10" ht="13.8" customHeight="1" x14ac:dyDescent="0.2">
      <c r="B48" s="282" t="s">
        <v>555</v>
      </c>
      <c r="C48" s="290">
        <v>145346</v>
      </c>
      <c r="D48" s="172">
        <v>142512</v>
      </c>
      <c r="E48" s="172">
        <v>140999</v>
      </c>
      <c r="F48" s="172">
        <v>139538</v>
      </c>
      <c r="G48" s="396">
        <v>138522</v>
      </c>
      <c r="H48" s="396"/>
      <c r="I48" s="338"/>
      <c r="J48" s="283"/>
    </row>
    <row r="49" spans="2:10" ht="13.8" customHeight="1" x14ac:dyDescent="0.2">
      <c r="B49" s="282" t="s">
        <v>358</v>
      </c>
      <c r="C49" s="290">
        <v>63936</v>
      </c>
      <c r="D49" s="172">
        <v>66050</v>
      </c>
      <c r="E49" s="172">
        <v>67743</v>
      </c>
      <c r="F49" s="172">
        <v>69273</v>
      </c>
      <c r="G49" s="396">
        <v>70898</v>
      </c>
      <c r="H49" s="396"/>
      <c r="I49" s="338"/>
      <c r="J49" s="283"/>
    </row>
    <row r="50" spans="2:10" ht="13.8" customHeight="1" x14ac:dyDescent="0.2">
      <c r="B50" s="282" t="s">
        <v>556</v>
      </c>
      <c r="C50" s="290">
        <v>192951</v>
      </c>
      <c r="D50" s="172">
        <v>188034</v>
      </c>
      <c r="E50" s="172">
        <v>193708</v>
      </c>
      <c r="F50" s="172">
        <v>188962</v>
      </c>
      <c r="G50" s="396">
        <v>188708</v>
      </c>
      <c r="H50" s="396"/>
      <c r="I50" s="338"/>
      <c r="J50" s="283"/>
    </row>
    <row r="51" spans="2:10" ht="13.8" customHeight="1" x14ac:dyDescent="0.2">
      <c r="B51" s="282" t="s">
        <v>359</v>
      </c>
      <c r="C51" s="290">
        <v>18595</v>
      </c>
      <c r="D51" s="172">
        <v>18754</v>
      </c>
      <c r="E51" s="172">
        <v>18641</v>
      </c>
      <c r="F51" s="172">
        <v>18696</v>
      </c>
      <c r="G51" s="396">
        <v>18905</v>
      </c>
      <c r="H51" s="396"/>
      <c r="I51" s="338"/>
      <c r="J51" s="283"/>
    </row>
    <row r="52" spans="2:10" ht="13.8" customHeight="1" x14ac:dyDescent="0.2">
      <c r="B52" s="282" t="s">
        <v>360</v>
      </c>
      <c r="C52" s="290">
        <v>13428</v>
      </c>
      <c r="D52" s="172">
        <v>13338</v>
      </c>
      <c r="E52" s="172">
        <v>13552</v>
      </c>
      <c r="F52" s="172">
        <v>13294</v>
      </c>
      <c r="G52" s="396">
        <v>13339</v>
      </c>
      <c r="H52" s="396"/>
      <c r="I52" s="338"/>
      <c r="J52" s="283"/>
    </row>
    <row r="53" spans="2:10" ht="13.8" customHeight="1" thickBot="1" x14ac:dyDescent="0.25">
      <c r="B53" s="305" t="s">
        <v>361</v>
      </c>
      <c r="C53" s="310">
        <v>16616</v>
      </c>
      <c r="D53" s="311">
        <v>17119</v>
      </c>
      <c r="E53" s="311">
        <v>17403</v>
      </c>
      <c r="F53" s="311">
        <v>17003</v>
      </c>
      <c r="G53" s="397">
        <v>16665</v>
      </c>
      <c r="H53" s="397"/>
      <c r="I53" s="307"/>
      <c r="J53" s="387"/>
    </row>
    <row r="54" spans="2:10" x14ac:dyDescent="0.2">
      <c r="B54" s="308"/>
      <c r="C54" s="340"/>
      <c r="D54" s="340"/>
      <c r="E54" s="340"/>
      <c r="F54" s="340"/>
      <c r="G54" s="454"/>
      <c r="H54" s="455"/>
      <c r="I54" s="388"/>
      <c r="J54" s="388"/>
    </row>
    <row r="55" spans="2:10" x14ac:dyDescent="0.2">
      <c r="B55" s="312" t="s">
        <v>508</v>
      </c>
      <c r="C55" s="434" t="s">
        <v>540</v>
      </c>
      <c r="D55" s="450" t="s">
        <v>456</v>
      </c>
      <c r="E55" s="460"/>
      <c r="F55" s="462"/>
      <c r="G55" s="462"/>
      <c r="H55" s="464"/>
      <c r="I55" s="444"/>
      <c r="J55" s="444"/>
    </row>
    <row r="56" spans="2:10" ht="13.8" thickBot="1" x14ac:dyDescent="0.25">
      <c r="B56" s="343" t="s">
        <v>509</v>
      </c>
      <c r="C56" s="435"/>
      <c r="D56" s="451"/>
      <c r="E56" s="461"/>
      <c r="F56" s="463"/>
      <c r="G56" s="463"/>
      <c r="H56" s="465"/>
      <c r="I56" s="445"/>
      <c r="J56" s="445"/>
    </row>
    <row r="57" spans="2:10" x14ac:dyDescent="0.2">
      <c r="B57" s="282" t="s">
        <v>362</v>
      </c>
      <c r="C57" s="313">
        <v>0.16</v>
      </c>
      <c r="D57" s="314">
        <v>0.17</v>
      </c>
      <c r="E57" s="338"/>
      <c r="F57" s="446"/>
      <c r="G57" s="446"/>
      <c r="H57" s="338"/>
      <c r="I57" s="338"/>
      <c r="J57" s="283"/>
    </row>
    <row r="58" spans="2:10" x14ac:dyDescent="0.2">
      <c r="B58" s="282" t="s">
        <v>343</v>
      </c>
      <c r="C58" s="313">
        <v>0.62</v>
      </c>
      <c r="D58" s="314">
        <v>0.54</v>
      </c>
      <c r="E58" s="447"/>
      <c r="F58" s="448"/>
      <c r="G58" s="448"/>
      <c r="H58" s="447"/>
      <c r="I58" s="447"/>
      <c r="J58" s="449"/>
    </row>
    <row r="59" spans="2:10" x14ac:dyDescent="0.2">
      <c r="B59" s="282" t="s">
        <v>510</v>
      </c>
      <c r="C59" s="313">
        <v>-0.56000000000000005</v>
      </c>
      <c r="D59" s="314">
        <v>-0.55000000000000004</v>
      </c>
      <c r="E59" s="447"/>
      <c r="F59" s="448"/>
      <c r="G59" s="448"/>
      <c r="H59" s="447"/>
      <c r="I59" s="447"/>
      <c r="J59" s="449"/>
    </row>
    <row r="60" spans="2:10" ht="13.8" thickBot="1" x14ac:dyDescent="0.25">
      <c r="B60" s="315" t="s">
        <v>344</v>
      </c>
      <c r="C60" s="316">
        <v>0.88</v>
      </c>
      <c r="D60" s="317">
        <v>0.88</v>
      </c>
      <c r="E60" s="318"/>
      <c r="F60" s="436"/>
      <c r="G60" s="436"/>
      <c r="H60" s="178"/>
      <c r="I60" s="178"/>
      <c r="J60" s="286"/>
    </row>
    <row r="61" spans="2:10" x14ac:dyDescent="0.2">
      <c r="B61" s="282" t="s">
        <v>511</v>
      </c>
      <c r="C61" s="429" t="s">
        <v>642</v>
      </c>
      <c r="D61" s="338" t="s">
        <v>512</v>
      </c>
      <c r="E61" s="338"/>
      <c r="F61" s="466"/>
      <c r="G61" s="466"/>
      <c r="H61" s="338"/>
      <c r="I61" s="338"/>
      <c r="J61" s="283"/>
    </row>
    <row r="62" spans="2:10" x14ac:dyDescent="0.2">
      <c r="B62" s="282" t="s">
        <v>513</v>
      </c>
      <c r="C62" s="429" t="s">
        <v>643</v>
      </c>
      <c r="D62" s="338" t="s">
        <v>514</v>
      </c>
      <c r="E62" s="338"/>
      <c r="F62" s="448"/>
      <c r="G62" s="448"/>
      <c r="H62" s="338"/>
      <c r="I62" s="338"/>
      <c r="J62" s="283"/>
    </row>
    <row r="63" spans="2:10" ht="13.8" thickBot="1" x14ac:dyDescent="0.25">
      <c r="B63" s="315" t="s">
        <v>515</v>
      </c>
      <c r="C63" s="430" t="s">
        <v>458</v>
      </c>
      <c r="D63" s="318" t="s">
        <v>516</v>
      </c>
      <c r="E63" s="318"/>
      <c r="F63" s="436"/>
      <c r="G63" s="436"/>
      <c r="H63" s="318"/>
      <c r="I63" s="318"/>
      <c r="J63" s="389"/>
    </row>
    <row r="64" spans="2:10" ht="15.6" x14ac:dyDescent="0.2">
      <c r="B64" s="282" t="s">
        <v>565</v>
      </c>
      <c r="C64" s="340" t="s">
        <v>557</v>
      </c>
      <c r="D64" s="338" t="s">
        <v>457</v>
      </c>
      <c r="E64" s="338"/>
      <c r="F64" s="466"/>
      <c r="G64" s="466"/>
      <c r="H64" s="338"/>
      <c r="I64" s="338"/>
      <c r="J64" s="283"/>
    </row>
    <row r="65" spans="2:10" x14ac:dyDescent="0.2">
      <c r="B65" s="282" t="s">
        <v>566</v>
      </c>
      <c r="C65" s="340" t="s">
        <v>558</v>
      </c>
      <c r="D65" s="338" t="s">
        <v>458</v>
      </c>
      <c r="E65" s="338"/>
      <c r="F65" s="448"/>
      <c r="G65" s="448"/>
      <c r="H65" s="338"/>
      <c r="I65" s="338"/>
      <c r="J65" s="283"/>
    </row>
    <row r="66" spans="2:10" ht="13.8" thickBot="1" x14ac:dyDescent="0.25">
      <c r="B66" s="315" t="s">
        <v>363</v>
      </c>
      <c r="C66" s="319" t="s">
        <v>559</v>
      </c>
      <c r="D66" s="318" t="s">
        <v>459</v>
      </c>
      <c r="E66" s="318"/>
      <c r="F66" s="436"/>
      <c r="G66" s="436"/>
      <c r="H66" s="318"/>
      <c r="I66" s="318"/>
      <c r="J66" s="389"/>
    </row>
    <row r="67" spans="2:10" x14ac:dyDescent="0.2">
      <c r="B67" s="282" t="s">
        <v>364</v>
      </c>
      <c r="C67" s="313">
        <v>1.36</v>
      </c>
      <c r="D67" s="314">
        <v>1.34</v>
      </c>
      <c r="E67" s="338"/>
      <c r="F67" s="466"/>
      <c r="G67" s="466"/>
      <c r="H67" s="338"/>
      <c r="I67" s="338"/>
      <c r="J67" s="283"/>
    </row>
    <row r="68" spans="2:10" ht="13.8" thickBot="1" x14ac:dyDescent="0.25">
      <c r="B68" s="315" t="s">
        <v>365</v>
      </c>
      <c r="C68" s="316">
        <v>1.39</v>
      </c>
      <c r="D68" s="320">
        <v>1.39</v>
      </c>
      <c r="E68" s="318"/>
      <c r="F68" s="436"/>
      <c r="G68" s="436"/>
      <c r="H68" s="318"/>
      <c r="I68" s="318"/>
      <c r="J68" s="389"/>
    </row>
    <row r="69" spans="2:10" x14ac:dyDescent="0.2">
      <c r="B69" s="437" t="s">
        <v>560</v>
      </c>
      <c r="C69" s="438"/>
      <c r="D69" s="438"/>
      <c r="E69" s="438"/>
      <c r="F69" s="438"/>
      <c r="G69" s="438"/>
      <c r="H69" s="438"/>
      <c r="I69" s="438"/>
      <c r="J69" s="431"/>
    </row>
    <row r="70" spans="2:10" x14ac:dyDescent="0.2">
      <c r="B70" s="439" t="s">
        <v>561</v>
      </c>
      <c r="C70" s="440"/>
      <c r="D70" s="440"/>
      <c r="E70" s="440"/>
      <c r="F70" s="440"/>
      <c r="G70" s="440"/>
      <c r="H70" s="440"/>
      <c r="I70" s="443"/>
      <c r="J70" s="432"/>
    </row>
    <row r="71" spans="2:10" ht="13.8" thickBot="1" x14ac:dyDescent="0.25">
      <c r="B71" s="441" t="s">
        <v>562</v>
      </c>
      <c r="C71" s="442"/>
      <c r="D71" s="442"/>
      <c r="E71" s="442"/>
      <c r="F71" s="442"/>
      <c r="G71" s="442"/>
      <c r="H71" s="442"/>
      <c r="I71" s="442"/>
      <c r="J71" s="433"/>
    </row>
    <row r="72" spans="2:10" ht="13.8" thickTop="1" x14ac:dyDescent="0.25"/>
  </sheetData>
  <mergeCells count="41">
    <mergeCell ref="F67:G67"/>
    <mergeCell ref="F68:G68"/>
    <mergeCell ref="F61:G61"/>
    <mergeCell ref="F62:G62"/>
    <mergeCell ref="F63:G63"/>
    <mergeCell ref="F64:G64"/>
    <mergeCell ref="F65:G65"/>
    <mergeCell ref="F66:G66"/>
    <mergeCell ref="G54:H54"/>
    <mergeCell ref="E55:E56"/>
    <mergeCell ref="F55:F56"/>
    <mergeCell ref="G55:H56"/>
    <mergeCell ref="C45:C46"/>
    <mergeCell ref="D45:D46"/>
    <mergeCell ref="C55:C56"/>
    <mergeCell ref="D55:D56"/>
    <mergeCell ref="J45:J46"/>
    <mergeCell ref="G44:H44"/>
    <mergeCell ref="I15:I16"/>
    <mergeCell ref="J15:J16"/>
    <mergeCell ref="B4:B5"/>
    <mergeCell ref="E4:E5"/>
    <mergeCell ref="G4:G5"/>
    <mergeCell ref="E45:E46"/>
    <mergeCell ref="F45:F46"/>
    <mergeCell ref="J69:J71"/>
    <mergeCell ref="G45:G46"/>
    <mergeCell ref="F60:G60"/>
    <mergeCell ref="B69:H69"/>
    <mergeCell ref="B70:H70"/>
    <mergeCell ref="B71:H71"/>
    <mergeCell ref="I69:I71"/>
    <mergeCell ref="I55:I56"/>
    <mergeCell ref="J55:J56"/>
    <mergeCell ref="F57:G57"/>
    <mergeCell ref="E58:E59"/>
    <mergeCell ref="F58:G59"/>
    <mergeCell ref="H58:H59"/>
    <mergeCell ref="I58:I59"/>
    <mergeCell ref="J58:J59"/>
    <mergeCell ref="I45:I46"/>
  </mergeCells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"/>
  <sheetViews>
    <sheetView showGridLines="0" tabSelected="1" workbookViewId="0">
      <pane xSplit="3" ySplit="3" topLeftCell="D31" activePane="bottomRight" state="frozen"/>
      <selection pane="topRight" activeCell="D1" sqref="D1"/>
      <selection pane="bottomLeft" activeCell="A4" sqref="A4"/>
      <selection pane="bottomRight" activeCell="C51" sqref="C51"/>
    </sheetView>
  </sheetViews>
  <sheetFormatPr defaultRowHeight="13.2" x14ac:dyDescent="0.25"/>
  <cols>
    <col min="3" max="3" width="39.21875" customWidth="1"/>
    <col min="4" max="4" width="10.77734375" style="90" customWidth="1"/>
    <col min="5" max="5" width="10.77734375" style="271" customWidth="1"/>
    <col min="6" max="6" width="10.77734375" hidden="1" customWidth="1"/>
    <col min="7" max="7" width="10.109375" customWidth="1"/>
    <col min="8" max="8" width="10.33203125" customWidth="1"/>
    <col min="9" max="9" width="9.77734375" customWidth="1"/>
    <col min="10" max="10" width="9.6640625" customWidth="1"/>
    <col min="11" max="11" width="10.109375" style="90" customWidth="1"/>
    <col min="12" max="12" width="9.109375" bestFit="1" customWidth="1"/>
    <col min="13" max="13" width="8.88671875" bestFit="1" customWidth="1"/>
  </cols>
  <sheetData>
    <row r="1" spans="1:12" ht="15.6" x14ac:dyDescent="0.25">
      <c r="A1" s="179" t="s">
        <v>460</v>
      </c>
    </row>
    <row r="2" spans="1:12" ht="22.8" customHeight="1" x14ac:dyDescent="0.25">
      <c r="A2" s="335" t="s">
        <v>483</v>
      </c>
      <c r="B2" s="180"/>
      <c r="C2" s="181"/>
      <c r="D2" s="357" t="s">
        <v>492</v>
      </c>
      <c r="E2" s="349" t="s">
        <v>492</v>
      </c>
      <c r="F2" s="331" t="s">
        <v>493</v>
      </c>
      <c r="G2" s="331" t="s">
        <v>493</v>
      </c>
      <c r="H2" s="331" t="s">
        <v>493</v>
      </c>
      <c r="I2" s="331" t="s">
        <v>493</v>
      </c>
      <c r="J2" s="331" t="s">
        <v>493</v>
      </c>
      <c r="K2" s="331" t="s">
        <v>493</v>
      </c>
      <c r="L2" s="90"/>
    </row>
    <row r="3" spans="1:12" ht="18" customHeight="1" x14ac:dyDescent="0.25">
      <c r="A3" s="184" t="s">
        <v>461</v>
      </c>
      <c r="B3" s="185"/>
      <c r="C3" s="185"/>
      <c r="D3" s="358" t="s">
        <v>534</v>
      </c>
      <c r="E3" s="350" t="s">
        <v>491</v>
      </c>
      <c r="F3" s="332" t="s">
        <v>456</v>
      </c>
      <c r="G3" s="333" t="s">
        <v>476</v>
      </c>
      <c r="H3" s="333" t="s">
        <v>454</v>
      </c>
      <c r="I3" s="333" t="s">
        <v>449</v>
      </c>
      <c r="J3" s="333" t="s">
        <v>440</v>
      </c>
      <c r="K3" s="332" t="s">
        <v>348</v>
      </c>
    </row>
    <row r="4" spans="1:12" x14ac:dyDescent="0.25">
      <c r="A4" s="188" t="s">
        <v>328</v>
      </c>
      <c r="B4" s="189"/>
      <c r="C4" s="189"/>
      <c r="D4" s="359">
        <v>641.97258499999998</v>
      </c>
      <c r="E4" s="220">
        <v>649.07668100000001</v>
      </c>
      <c r="F4" s="220">
        <v>2394.2295909999998</v>
      </c>
      <c r="G4" s="220">
        <v>569.12542800000006</v>
      </c>
      <c r="H4" s="220">
        <v>589.046245</v>
      </c>
      <c r="I4" s="220">
        <v>611.21744000000001</v>
      </c>
      <c r="J4" s="220">
        <v>624.84047799999996</v>
      </c>
      <c r="K4" s="220">
        <v>2700.9219410000001</v>
      </c>
      <c r="L4" s="220"/>
    </row>
    <row r="5" spans="1:12" x14ac:dyDescent="0.25">
      <c r="A5" s="190" t="s">
        <v>441</v>
      </c>
      <c r="B5" s="189"/>
      <c r="C5" s="189"/>
      <c r="D5" s="359">
        <v>143.542798</v>
      </c>
      <c r="E5" s="220">
        <v>103.408399</v>
      </c>
      <c r="F5" s="220">
        <v>526.33150499999999</v>
      </c>
      <c r="G5" s="220">
        <v>99.920567000000005</v>
      </c>
      <c r="H5" s="220">
        <v>152.79215300000001</v>
      </c>
      <c r="I5" s="220">
        <v>130.76232999999999</v>
      </c>
      <c r="J5" s="220">
        <v>142.85645500000001</v>
      </c>
      <c r="K5" s="220">
        <v>440.32083799999998</v>
      </c>
    </row>
    <row r="6" spans="1:12" x14ac:dyDescent="0.25">
      <c r="A6" s="191" t="s">
        <v>442</v>
      </c>
      <c r="B6" s="189"/>
      <c r="C6" s="189"/>
      <c r="D6" s="359">
        <v>264.55734100000001</v>
      </c>
      <c r="E6" s="220">
        <v>259.30226900000002</v>
      </c>
      <c r="F6" s="220">
        <v>1042.6741259999999</v>
      </c>
      <c r="G6" s="220">
        <v>265.30799200000001</v>
      </c>
      <c r="H6" s="220">
        <v>263.42039</v>
      </c>
      <c r="I6" s="220">
        <v>257.63087100000001</v>
      </c>
      <c r="J6" s="220">
        <v>256.31487299999998</v>
      </c>
      <c r="K6" s="220">
        <v>1012.090429</v>
      </c>
    </row>
    <row r="7" spans="1:12" x14ac:dyDescent="0.25">
      <c r="A7" s="191" t="s">
        <v>443</v>
      </c>
      <c r="B7" s="189"/>
      <c r="C7" s="189"/>
      <c r="D7" s="359">
        <v>-121.014543</v>
      </c>
      <c r="E7" s="220">
        <v>-155.89386999999999</v>
      </c>
      <c r="F7" s="220">
        <v>-516.34262100000001</v>
      </c>
      <c r="G7" s="220">
        <v>-165.38742500000001</v>
      </c>
      <c r="H7" s="220">
        <v>-110.628237</v>
      </c>
      <c r="I7" s="220">
        <v>-126.86854099999999</v>
      </c>
      <c r="J7" s="220">
        <v>-113.45841799999999</v>
      </c>
      <c r="K7" s="220">
        <v>-571.76959099999999</v>
      </c>
    </row>
    <row r="8" spans="1:12" x14ac:dyDescent="0.25">
      <c r="A8" s="188" t="s">
        <v>444</v>
      </c>
      <c r="B8" s="189"/>
      <c r="C8" s="189"/>
      <c r="D8" s="359">
        <v>-22.498742</v>
      </c>
      <c r="E8" s="220">
        <v>-26.914044000000001</v>
      </c>
      <c r="F8" s="220">
        <v>-1575.4354949999999</v>
      </c>
      <c r="G8" s="220">
        <v>-24.094698000000001</v>
      </c>
      <c r="H8" s="220">
        <v>-21.241499999999998</v>
      </c>
      <c r="I8" s="220">
        <v>-42.966740000000001</v>
      </c>
      <c r="J8" s="220">
        <v>-43.886949999999999</v>
      </c>
      <c r="K8" s="220">
        <v>-1996.890453</v>
      </c>
    </row>
    <row r="9" spans="1:12" x14ac:dyDescent="0.25">
      <c r="A9" s="191" t="s">
        <v>445</v>
      </c>
      <c r="B9" s="189"/>
      <c r="C9" s="189"/>
      <c r="D9" s="359">
        <v>234.19524699999999</v>
      </c>
      <c r="E9" s="220">
        <v>250.76045300000001</v>
      </c>
      <c r="F9" s="220">
        <v>926.90298600000006</v>
      </c>
      <c r="G9" s="220">
        <v>291.70457800000003</v>
      </c>
      <c r="H9" s="220">
        <v>194.98985099999999</v>
      </c>
      <c r="I9" s="220">
        <v>199.025589</v>
      </c>
      <c r="J9" s="220">
        <v>241.18296799999999</v>
      </c>
      <c r="K9" s="220">
        <v>1217.261276</v>
      </c>
    </row>
    <row r="10" spans="1:12" x14ac:dyDescent="0.25">
      <c r="A10" s="191" t="s">
        <v>446</v>
      </c>
      <c r="B10" s="189"/>
      <c r="C10" s="189"/>
      <c r="D10" s="359">
        <v>-256.69398899999999</v>
      </c>
      <c r="E10" s="220">
        <v>-277.67449699999997</v>
      </c>
      <c r="F10" s="220">
        <v>-1059.0928739999999</v>
      </c>
      <c r="G10" s="220">
        <v>-315.79927600000002</v>
      </c>
      <c r="H10" s="220">
        <v>-216.23135099999999</v>
      </c>
      <c r="I10" s="220">
        <v>-241.99232900000001</v>
      </c>
      <c r="J10" s="220">
        <v>-285.06991799999997</v>
      </c>
      <c r="K10" s="220">
        <v>-1425.120862</v>
      </c>
    </row>
    <row r="11" spans="1:12" x14ac:dyDescent="0.25">
      <c r="A11" s="188" t="s">
        <v>333</v>
      </c>
      <c r="B11" s="189"/>
      <c r="C11" s="189"/>
      <c r="D11" s="359">
        <v>-7.75854</v>
      </c>
      <c r="E11" s="220">
        <v>-4.0931329999999999</v>
      </c>
      <c r="F11" s="220">
        <v>-14.783108</v>
      </c>
      <c r="G11" s="220">
        <v>-9.3475760000000001</v>
      </c>
      <c r="H11" s="220">
        <v>3.5819359999999998</v>
      </c>
      <c r="I11" s="220">
        <v>-7.0389739999999996</v>
      </c>
      <c r="J11" s="220">
        <v>-1.978494</v>
      </c>
      <c r="K11" s="220">
        <v>-11.553527000000001</v>
      </c>
    </row>
    <row r="12" spans="1:12" x14ac:dyDescent="0.25">
      <c r="A12" s="192" t="s">
        <v>334</v>
      </c>
      <c r="B12" s="189"/>
      <c r="C12" s="193"/>
      <c r="D12" s="359">
        <v>29.455718999999998</v>
      </c>
      <c r="E12" s="220">
        <v>20.526790999999999</v>
      </c>
      <c r="F12" s="220">
        <v>52.467326999999997</v>
      </c>
      <c r="G12" s="220">
        <v>7.0524789999999999</v>
      </c>
      <c r="H12" s="220">
        <v>9.4575940000000003</v>
      </c>
      <c r="I12" s="220">
        <v>23.723903</v>
      </c>
      <c r="J12" s="220">
        <v>12.233351000000001</v>
      </c>
      <c r="K12" s="220">
        <v>61.249808000000002</v>
      </c>
    </row>
    <row r="13" spans="1:12" x14ac:dyDescent="0.25">
      <c r="A13" s="194" t="s">
        <v>462</v>
      </c>
      <c r="B13" s="189"/>
      <c r="C13" s="189"/>
      <c r="D13" s="359">
        <v>53.666502999999999</v>
      </c>
      <c r="E13" s="220">
        <v>33.812956999999997</v>
      </c>
      <c r="F13" s="220">
        <v>539.19869400000005</v>
      </c>
      <c r="G13" s="220">
        <v>149.67302100000001</v>
      </c>
      <c r="H13" s="220">
        <v>105.945368</v>
      </c>
      <c r="I13" s="220">
        <v>127.330207</v>
      </c>
      <c r="J13" s="220">
        <v>156.25009800000001</v>
      </c>
      <c r="K13" s="220">
        <v>328.78294799999998</v>
      </c>
    </row>
    <row r="14" spans="1:12" s="90" customFormat="1" x14ac:dyDescent="0.25">
      <c r="A14" s="194" t="s">
        <v>335</v>
      </c>
      <c r="B14" s="189"/>
      <c r="C14" s="189"/>
      <c r="D14" s="359"/>
      <c r="E14" s="355"/>
      <c r="F14" s="220">
        <v>123.20611599999999</v>
      </c>
      <c r="G14" s="220">
        <v>34.218556</v>
      </c>
      <c r="H14" s="220">
        <v>34.445732999999997</v>
      </c>
      <c r="I14" s="220">
        <v>31.798857999999999</v>
      </c>
      <c r="J14" s="220">
        <v>22.742968999999999</v>
      </c>
      <c r="K14" s="220">
        <v>90.402330000000006</v>
      </c>
    </row>
    <row r="15" spans="1:12" x14ac:dyDescent="0.25">
      <c r="A15" s="188" t="s">
        <v>494</v>
      </c>
      <c r="B15" s="189"/>
      <c r="C15" s="189"/>
      <c r="D15" s="359">
        <v>-0.11088199999999999</v>
      </c>
      <c r="E15" s="220">
        <v>0.19991</v>
      </c>
    </row>
    <row r="16" spans="1:12" x14ac:dyDescent="0.25">
      <c r="A16" s="188" t="s">
        <v>336</v>
      </c>
      <c r="B16" s="189"/>
      <c r="C16" s="189"/>
      <c r="D16" s="359">
        <v>301.80391700000001</v>
      </c>
      <c r="E16" s="220">
        <v>317.97653400000002</v>
      </c>
      <c r="F16" s="220">
        <v>1290.0790420000001</v>
      </c>
      <c r="G16" s="220">
        <v>313.00749500000001</v>
      </c>
      <c r="H16" s="220">
        <v>300.539513</v>
      </c>
      <c r="I16" s="220">
        <v>330.60538700000001</v>
      </c>
      <c r="J16" s="220">
        <v>345.926647</v>
      </c>
      <c r="K16" s="220">
        <v>1069.5596250000001</v>
      </c>
    </row>
    <row r="17" spans="1:13" x14ac:dyDescent="0.25">
      <c r="A17" s="188" t="s">
        <v>447</v>
      </c>
      <c r="B17" s="189"/>
      <c r="C17" s="189"/>
      <c r="D17" s="359">
        <v>48.786121000000001</v>
      </c>
      <c r="E17" s="220">
        <v>58.721806000000001</v>
      </c>
      <c r="F17" s="220">
        <v>174.484478</v>
      </c>
      <c r="G17" s="220">
        <v>38.348264</v>
      </c>
      <c r="H17" s="220">
        <v>50.681789000000002</v>
      </c>
      <c r="I17" s="220">
        <v>39.683858000000001</v>
      </c>
      <c r="J17" s="220">
        <v>45.770567</v>
      </c>
      <c r="K17" s="220">
        <v>208.38699700000001</v>
      </c>
    </row>
    <row r="18" spans="1:13" x14ac:dyDescent="0.25">
      <c r="A18" s="231" t="s">
        <v>463</v>
      </c>
      <c r="B18" s="232"/>
      <c r="C18" s="232"/>
      <c r="D18" s="360">
        <v>1188.859479</v>
      </c>
      <c r="E18" s="230">
        <v>1152.715901</v>
      </c>
      <c r="F18" s="230">
        <v>4953.0237569999999</v>
      </c>
      <c r="G18" s="230">
        <v>1177.903536</v>
      </c>
      <c r="H18" s="230">
        <v>1225.2488310000001</v>
      </c>
      <c r="I18" s="230">
        <v>1245.1162690000001</v>
      </c>
      <c r="J18" s="230">
        <v>1304.7551209999999</v>
      </c>
      <c r="K18" s="230">
        <v>4680.2113740000004</v>
      </c>
    </row>
    <row r="19" spans="1:13" x14ac:dyDescent="0.25">
      <c r="A19" s="188" t="s">
        <v>303</v>
      </c>
      <c r="B19" s="197"/>
      <c r="C19" s="197"/>
      <c r="D19" s="359">
        <v>-561.97855400000003</v>
      </c>
      <c r="E19" s="220">
        <v>-822.06265499999995</v>
      </c>
      <c r="F19" s="220">
        <v>-2451.9219419999999</v>
      </c>
      <c r="G19" s="220">
        <v>-566.05907400000001</v>
      </c>
      <c r="H19" s="220">
        <v>-519.67852400000004</v>
      </c>
      <c r="I19" s="220">
        <v>-544.22057099999995</v>
      </c>
      <c r="J19" s="220">
        <v>-821.96377299999995</v>
      </c>
      <c r="K19" s="220">
        <v>-2431.980591</v>
      </c>
      <c r="M19" s="220"/>
    </row>
    <row r="20" spans="1:13" x14ac:dyDescent="0.25">
      <c r="A20" s="188" t="s">
        <v>304</v>
      </c>
      <c r="B20" s="189"/>
      <c r="C20" s="189"/>
      <c r="D20" s="359">
        <v>-26.325104</v>
      </c>
      <c r="E20" s="220">
        <v>-13.497394999999999</v>
      </c>
      <c r="F20" s="220">
        <v>-115.95734899999999</v>
      </c>
      <c r="G20" s="220">
        <v>-24.018889999999999</v>
      </c>
      <c r="H20" s="220">
        <v>-33.545853999999999</v>
      </c>
      <c r="I20" s="220">
        <v>1.5544290000000001</v>
      </c>
      <c r="J20" s="220">
        <v>-59.947034000000002</v>
      </c>
      <c r="K20" s="220">
        <v>-178.60114200000001</v>
      </c>
    </row>
    <row r="21" spans="1:13" x14ac:dyDescent="0.25">
      <c r="A21" s="191" t="s">
        <v>530</v>
      </c>
      <c r="B21" s="189"/>
      <c r="C21" s="189"/>
      <c r="D21" s="359"/>
      <c r="E21" s="220"/>
      <c r="F21" s="220">
        <v>-87.396405000000001</v>
      </c>
      <c r="G21" s="220">
        <v>-12.488502</v>
      </c>
      <c r="H21" s="220">
        <v>-20.565860000000001</v>
      </c>
      <c r="I21" s="220">
        <v>4.470688</v>
      </c>
      <c r="J21" s="220">
        <v>-58.812730999999999</v>
      </c>
      <c r="K21" s="220">
        <v>-112.70441</v>
      </c>
    </row>
    <row r="22" spans="1:13" s="90" customFormat="1" x14ac:dyDescent="0.25">
      <c r="A22" s="191" t="s">
        <v>531</v>
      </c>
      <c r="B22" s="189"/>
      <c r="C22" s="189"/>
      <c r="D22" s="359">
        <v>-27.097291999999999</v>
      </c>
      <c r="E22" s="220">
        <v>-14.199490000000001</v>
      </c>
      <c r="F22" s="220"/>
      <c r="G22" s="220"/>
      <c r="H22" s="220"/>
      <c r="I22" s="220"/>
      <c r="J22" s="220"/>
      <c r="K22" s="220"/>
    </row>
    <row r="23" spans="1:13" s="90" customFormat="1" x14ac:dyDescent="0.25">
      <c r="A23" s="191" t="s">
        <v>532</v>
      </c>
      <c r="B23" s="189"/>
      <c r="C23" s="189"/>
      <c r="D23" s="359"/>
      <c r="E23" s="220"/>
      <c r="F23" s="220">
        <v>-10.715362000000001</v>
      </c>
      <c r="G23" s="220">
        <v>-2.5421680000000002</v>
      </c>
      <c r="H23" s="220">
        <v>-5.1479160000000004</v>
      </c>
      <c r="I23" s="220">
        <v>-1.9521040000000001</v>
      </c>
      <c r="J23" s="220">
        <v>-1.0731740000000001</v>
      </c>
      <c r="K23" s="220">
        <v>-57.763058999999998</v>
      </c>
    </row>
    <row r="24" spans="1:13" x14ac:dyDescent="0.25">
      <c r="A24" s="191" t="s">
        <v>533</v>
      </c>
      <c r="B24" s="189"/>
      <c r="C24" s="189"/>
      <c r="D24" s="359">
        <v>1.0059560000000001</v>
      </c>
      <c r="E24" s="220">
        <v>0.62057399999999996</v>
      </c>
    </row>
    <row r="25" spans="1:13" x14ac:dyDescent="0.25">
      <c r="A25" s="191" t="s">
        <v>464</v>
      </c>
      <c r="B25" s="189"/>
      <c r="C25" s="189"/>
      <c r="D25" s="359">
        <v>-0.233768</v>
      </c>
      <c r="E25" s="220">
        <v>8.1520999999999996E-2</v>
      </c>
      <c r="F25" s="220">
        <v>-17.845582</v>
      </c>
      <c r="G25" s="220">
        <v>-8.9882200000000001</v>
      </c>
      <c r="H25" s="220">
        <v>-7.8320780000000001</v>
      </c>
      <c r="I25" s="220">
        <v>-0.96415499999999998</v>
      </c>
      <c r="J25" s="220">
        <v>-6.1129000000000003E-2</v>
      </c>
      <c r="K25" s="220">
        <v>-8.1336729999999999</v>
      </c>
    </row>
    <row r="26" spans="1:13" x14ac:dyDescent="0.25">
      <c r="A26" s="188" t="s">
        <v>355</v>
      </c>
      <c r="B26" s="189"/>
      <c r="C26" s="193"/>
      <c r="D26" s="359">
        <v>-3.8950049999999998</v>
      </c>
      <c r="E26" s="220">
        <v>-1.30806</v>
      </c>
      <c r="F26" s="220">
        <v>-13.440552</v>
      </c>
      <c r="G26" s="220">
        <v>-9.2871959999999998</v>
      </c>
      <c r="H26" s="220">
        <v>-0.17061399999999999</v>
      </c>
      <c r="I26" s="220">
        <v>-3.982742</v>
      </c>
      <c r="J26" s="220">
        <v>0</v>
      </c>
      <c r="K26" s="220">
        <v>0</v>
      </c>
    </row>
    <row r="27" spans="1:13" x14ac:dyDescent="0.25">
      <c r="A27" s="233" t="s">
        <v>465</v>
      </c>
      <c r="B27" s="232"/>
      <c r="C27" s="232"/>
      <c r="D27" s="360">
        <v>596.66081599999995</v>
      </c>
      <c r="E27" s="230">
        <v>315.84779099999997</v>
      </c>
      <c r="F27" s="230">
        <v>2371.7039140000002</v>
      </c>
      <c r="G27" s="230">
        <v>578.53837599999997</v>
      </c>
      <c r="H27" s="230">
        <v>671.85383899999999</v>
      </c>
      <c r="I27" s="230">
        <v>698.46738500000004</v>
      </c>
      <c r="J27" s="230">
        <v>422.844314</v>
      </c>
      <c r="K27" s="230">
        <v>2069.629641</v>
      </c>
    </row>
    <row r="28" spans="1:13" x14ac:dyDescent="0.25">
      <c r="A28" s="233" t="s">
        <v>340</v>
      </c>
      <c r="B28" s="234"/>
      <c r="C28" s="234"/>
      <c r="D28" s="360">
        <v>-159.24464</v>
      </c>
      <c r="E28" s="230">
        <v>-73.179322999999997</v>
      </c>
      <c r="F28" s="230">
        <v>-796.54620799999998</v>
      </c>
      <c r="G28" s="230">
        <v>-243.123842</v>
      </c>
      <c r="H28" s="230">
        <v>-217.110479</v>
      </c>
      <c r="I28" s="230">
        <v>-214.901906</v>
      </c>
      <c r="J28" s="230">
        <v>-121.409981</v>
      </c>
      <c r="K28" s="230">
        <v>-637.095776</v>
      </c>
    </row>
    <row r="29" spans="1:13" x14ac:dyDescent="0.25">
      <c r="A29" s="233" t="s">
        <v>466</v>
      </c>
      <c r="B29" s="232"/>
      <c r="C29" s="232"/>
      <c r="D29" s="360">
        <v>437.41617600000001</v>
      </c>
      <c r="E29" s="230">
        <v>242.66846799999999</v>
      </c>
      <c r="F29" s="230">
        <v>1575.157706</v>
      </c>
      <c r="G29" s="230">
        <v>335.414534</v>
      </c>
      <c r="H29" s="230">
        <v>454.74336</v>
      </c>
      <c r="I29" s="230">
        <v>483.56547899999998</v>
      </c>
      <c r="J29" s="230">
        <v>301.43433299999998</v>
      </c>
      <c r="K29" s="230">
        <v>1432.5338650000001</v>
      </c>
    </row>
    <row r="30" spans="1:13" x14ac:dyDescent="0.25">
      <c r="A30" s="191" t="s">
        <v>467</v>
      </c>
      <c r="B30" s="189"/>
      <c r="C30" s="189"/>
      <c r="D30" s="359">
        <v>8.8599999999999998E-2</v>
      </c>
      <c r="E30" s="220">
        <v>9.7724000000000005E-2</v>
      </c>
      <c r="F30" s="220">
        <v>-0.131388</v>
      </c>
      <c r="G30" s="220">
        <v>-0.35688700000000001</v>
      </c>
      <c r="H30" s="220">
        <v>5.092E-2</v>
      </c>
      <c r="I30" s="220">
        <v>6.9310999999999998E-2</v>
      </c>
      <c r="J30" s="220">
        <v>0.105268</v>
      </c>
      <c r="K30" s="220">
        <v>0.29353600000000002</v>
      </c>
    </row>
    <row r="31" spans="1:13" x14ac:dyDescent="0.25">
      <c r="A31" s="235" t="s">
        <v>346</v>
      </c>
      <c r="B31" s="236"/>
      <c r="C31" s="236"/>
      <c r="D31" s="362">
        <v>437.32757600000002</v>
      </c>
      <c r="E31" s="220">
        <v>242.57074399999999</v>
      </c>
      <c r="F31" s="220">
        <v>1575.289094</v>
      </c>
      <c r="G31" s="220">
        <v>335.77142099999998</v>
      </c>
      <c r="H31" s="220">
        <v>454.69243999999998</v>
      </c>
      <c r="I31" s="220">
        <v>483.49616800000001</v>
      </c>
      <c r="J31" s="220">
        <v>301.32906500000001</v>
      </c>
      <c r="K31" s="220">
        <v>1432.240329</v>
      </c>
    </row>
    <row r="32" spans="1:13" x14ac:dyDescent="0.25">
      <c r="A32" s="237" t="s">
        <v>325</v>
      </c>
      <c r="B32" s="238"/>
      <c r="C32" s="239"/>
      <c r="D32" s="359">
        <v>301.895645</v>
      </c>
      <c r="E32" s="240">
        <v>164.74515600000001</v>
      </c>
      <c r="F32" s="240">
        <v>1200.0372829999999</v>
      </c>
      <c r="G32" s="240">
        <v>271.10767199999998</v>
      </c>
      <c r="H32" s="240">
        <v>335.758531</v>
      </c>
      <c r="I32" s="240">
        <v>385.02177699999999</v>
      </c>
      <c r="J32" s="240">
        <v>208.149303</v>
      </c>
      <c r="K32" s="240">
        <v>1180.184939</v>
      </c>
    </row>
    <row r="33" spans="1:12" ht="21" x14ac:dyDescent="0.25">
      <c r="A33" s="241" t="s">
        <v>326</v>
      </c>
      <c r="B33" s="146"/>
      <c r="C33" s="146"/>
      <c r="D33" s="362">
        <v>135.43193099999999</v>
      </c>
      <c r="E33" s="242">
        <v>77.825587999999996</v>
      </c>
      <c r="F33" s="242">
        <v>375.25181099999998</v>
      </c>
      <c r="G33" s="242">
        <v>64.663748999999996</v>
      </c>
      <c r="H33" s="242">
        <v>118.933909</v>
      </c>
      <c r="I33" s="242">
        <v>98.474390999999997</v>
      </c>
      <c r="J33" s="242">
        <v>93.179761999999997</v>
      </c>
      <c r="K33" s="242">
        <v>252.05538999999999</v>
      </c>
    </row>
    <row r="34" spans="1:12" ht="21" x14ac:dyDescent="0.25">
      <c r="A34" s="205" t="s">
        <v>468</v>
      </c>
      <c r="B34" s="145"/>
      <c r="C34" s="206"/>
      <c r="D34" s="363"/>
      <c r="E34" s="351"/>
      <c r="F34" s="269"/>
      <c r="G34" s="208"/>
      <c r="H34" s="208"/>
      <c r="I34" s="208"/>
      <c r="J34" s="208"/>
      <c r="K34" s="207"/>
    </row>
    <row r="35" spans="1:12" ht="15.6" x14ac:dyDescent="0.3">
      <c r="A35" s="191" t="s">
        <v>477</v>
      </c>
      <c r="B35" s="132"/>
      <c r="C35" s="206"/>
      <c r="D35" s="359">
        <v>98258.261947000006</v>
      </c>
      <c r="E35" s="356">
        <v>95709.909308000002</v>
      </c>
      <c r="F35" s="220">
        <v>94494.555378000005</v>
      </c>
      <c r="G35" s="220">
        <v>94494.555378000005</v>
      </c>
      <c r="H35" s="220">
        <v>93512.460290000003</v>
      </c>
      <c r="I35" s="220">
        <v>93494.264037000001</v>
      </c>
      <c r="J35" s="220">
        <v>92307.341742000004</v>
      </c>
      <c r="K35" s="220">
        <v>91803.666840999998</v>
      </c>
      <c r="L35" s="90"/>
    </row>
    <row r="36" spans="1:12" ht="15.6" x14ac:dyDescent="0.3">
      <c r="A36" s="191" t="s">
        <v>478</v>
      </c>
      <c r="B36" s="105"/>
      <c r="C36" s="206"/>
      <c r="D36" s="359">
        <v>34626.651098000002</v>
      </c>
      <c r="E36" s="356">
        <v>34547.730044000004</v>
      </c>
      <c r="F36" s="220">
        <v>34468.406296000001</v>
      </c>
      <c r="G36" s="220">
        <v>34468.406296000001</v>
      </c>
      <c r="H36" s="220">
        <v>34221.971023999999</v>
      </c>
      <c r="I36" s="220">
        <v>34079.204730999998</v>
      </c>
      <c r="J36" s="220">
        <v>34085.389281000003</v>
      </c>
      <c r="K36" s="220">
        <v>34265.169329999997</v>
      </c>
      <c r="L36" s="90"/>
    </row>
    <row r="37" spans="1:12" ht="15.6" x14ac:dyDescent="0.3">
      <c r="A37" s="191" t="s">
        <v>479</v>
      </c>
      <c r="B37" s="105"/>
      <c r="C37" s="243"/>
      <c r="D37" s="359">
        <v>131013.207895</v>
      </c>
      <c r="E37" s="356">
        <v>126694.057549</v>
      </c>
      <c r="F37" s="220">
        <v>132880.677589</v>
      </c>
      <c r="G37" s="220">
        <v>132880.677589</v>
      </c>
      <c r="H37" s="220">
        <v>128895.309383</v>
      </c>
      <c r="I37" s="220">
        <v>129824.59213800001</v>
      </c>
      <c r="J37" s="220">
        <v>127005.09524</v>
      </c>
      <c r="K37" s="220">
        <v>125073.934108</v>
      </c>
      <c r="L37" s="90"/>
    </row>
    <row r="38" spans="1:12" ht="21" x14ac:dyDescent="0.25">
      <c r="A38" s="244" t="s">
        <v>469</v>
      </c>
      <c r="B38" s="245"/>
      <c r="C38" s="246"/>
      <c r="D38" s="364"/>
      <c r="E38" s="352"/>
      <c r="F38" s="240"/>
      <c r="G38" s="240"/>
      <c r="H38" s="240"/>
      <c r="I38" s="240"/>
      <c r="J38" s="240"/>
      <c r="K38" s="240"/>
    </row>
    <row r="39" spans="1:12" ht="15.6" x14ac:dyDescent="0.3">
      <c r="A39" s="191" t="s">
        <v>470</v>
      </c>
      <c r="B39" s="105"/>
      <c r="C39" s="206"/>
      <c r="D39" s="359">
        <v>13382.004747999999</v>
      </c>
      <c r="E39" s="356">
        <v>13496.385446</v>
      </c>
      <c r="F39" s="220">
        <v>13649.192304</v>
      </c>
      <c r="G39" s="220">
        <v>13649.192304</v>
      </c>
      <c r="H39" s="220">
        <v>13774.844241000001</v>
      </c>
      <c r="I39" s="220">
        <v>13939.735214</v>
      </c>
      <c r="J39" s="220">
        <v>14235.113063999999</v>
      </c>
      <c r="K39" s="220">
        <v>14567.06516</v>
      </c>
    </row>
    <row r="40" spans="1:12" ht="15.6" x14ac:dyDescent="0.3">
      <c r="A40" s="191" t="s">
        <v>471</v>
      </c>
      <c r="B40" s="105"/>
      <c r="C40" s="243"/>
      <c r="D40" s="359">
        <v>13269.065990999999</v>
      </c>
      <c r="E40" s="356">
        <v>13159.517432000001</v>
      </c>
      <c r="F40" s="220">
        <v>13370.291792</v>
      </c>
      <c r="G40" s="220">
        <v>13370.291792</v>
      </c>
      <c r="H40" s="220">
        <v>13114.745915</v>
      </c>
      <c r="I40" s="220">
        <v>13160.684686000001</v>
      </c>
      <c r="J40" s="220">
        <v>12951.726952000001</v>
      </c>
      <c r="K40" s="220">
        <v>12759.860264000001</v>
      </c>
    </row>
    <row r="41" spans="1:12" ht="15.6" x14ac:dyDescent="0.3">
      <c r="A41" s="244" t="s">
        <v>472</v>
      </c>
      <c r="B41" s="247"/>
      <c r="C41" s="246"/>
      <c r="D41" s="364"/>
      <c r="E41" s="352"/>
      <c r="F41" s="240"/>
      <c r="G41" s="240"/>
      <c r="H41" s="240"/>
      <c r="I41" s="240"/>
      <c r="J41" s="240"/>
      <c r="K41" s="240"/>
    </row>
    <row r="42" spans="1:12" ht="15.6" x14ac:dyDescent="0.3">
      <c r="A42" s="191" t="s">
        <v>480</v>
      </c>
      <c r="B42" s="213"/>
      <c r="C42" s="214"/>
      <c r="D42" s="359">
        <v>46847.613379000002</v>
      </c>
      <c r="E42" s="356">
        <v>46552.580485999999</v>
      </c>
      <c r="F42" s="220">
        <v>44610.616478999997</v>
      </c>
      <c r="G42" s="220">
        <v>44610.616478999997</v>
      </c>
      <c r="H42" s="220">
        <v>43987.734769000002</v>
      </c>
      <c r="I42" s="220">
        <v>43329.162095</v>
      </c>
      <c r="J42" s="220">
        <v>42796.651410999999</v>
      </c>
      <c r="K42" s="220">
        <v>42735.287501999999</v>
      </c>
    </row>
    <row r="43" spans="1:12" ht="15.6" x14ac:dyDescent="0.3">
      <c r="A43" s="191" t="s">
        <v>473</v>
      </c>
      <c r="B43" s="105"/>
      <c r="C43" s="206"/>
      <c r="D43" s="359">
        <v>1560.4627250000001</v>
      </c>
      <c r="E43" s="356">
        <v>1570.1548170000001</v>
      </c>
      <c r="F43" s="220">
        <v>1627.1634469999999</v>
      </c>
      <c r="G43" s="220">
        <v>1627.1634469999999</v>
      </c>
      <c r="H43" s="220">
        <v>1502.8979059999999</v>
      </c>
      <c r="I43" s="220">
        <v>1444.0482050000001</v>
      </c>
      <c r="J43" s="220">
        <v>1494.155679</v>
      </c>
      <c r="K43" s="220">
        <v>1610.625264</v>
      </c>
    </row>
    <row r="44" spans="1:12" ht="15.6" x14ac:dyDescent="0.3">
      <c r="A44" s="191" t="s">
        <v>327</v>
      </c>
      <c r="B44" s="105"/>
      <c r="C44" s="206"/>
      <c r="D44" s="359">
        <v>6526.3097431739998</v>
      </c>
      <c r="E44" s="356">
        <v>6504.7283485159996</v>
      </c>
      <c r="F44" s="220">
        <v>6266.6675608160003</v>
      </c>
      <c r="G44" s="220">
        <v>6266.6675608160003</v>
      </c>
      <c r="H44" s="220">
        <v>6077.6223219759995</v>
      </c>
      <c r="I44" s="220">
        <v>5950.2810628799998</v>
      </c>
      <c r="J44" s="220">
        <v>5945.0074257440001</v>
      </c>
      <c r="K44" s="220">
        <v>5973.6118898474997</v>
      </c>
    </row>
    <row r="45" spans="1:12" ht="15.6" x14ac:dyDescent="0.3">
      <c r="A45" s="191" t="s">
        <v>342</v>
      </c>
      <c r="B45" s="105"/>
      <c r="C45" s="206"/>
      <c r="D45" s="365">
        <v>0.27069399999999999</v>
      </c>
      <c r="E45" s="353">
        <v>0.150892</v>
      </c>
      <c r="F45" s="215">
        <v>0.26224199999999998</v>
      </c>
      <c r="G45" s="215">
        <v>0.22358700000000001</v>
      </c>
      <c r="H45" s="215">
        <v>0.30119600000000002</v>
      </c>
      <c r="I45" s="215">
        <v>0.31856400000000001</v>
      </c>
      <c r="J45" s="215">
        <v>0.19697999999999999</v>
      </c>
      <c r="K45" s="215">
        <v>0.21790999999999999</v>
      </c>
    </row>
    <row r="46" spans="1:12" ht="15.6" x14ac:dyDescent="0.3">
      <c r="A46" s="191" t="s">
        <v>343</v>
      </c>
      <c r="B46" s="105"/>
      <c r="C46" s="206"/>
      <c r="D46" s="365">
        <v>0.51319000000000004</v>
      </c>
      <c r="E46" s="353">
        <v>0.75977899999999998</v>
      </c>
      <c r="F46" s="215">
        <v>0.51942600000000005</v>
      </c>
      <c r="G46" s="215">
        <v>0.48635400000000001</v>
      </c>
      <c r="H46" s="215">
        <v>0.45600099999999999</v>
      </c>
      <c r="I46" s="215">
        <v>0.45068000000000003</v>
      </c>
      <c r="J46" s="215">
        <v>0.67364999999999997</v>
      </c>
      <c r="K46" s="215">
        <v>0.53598000000000001</v>
      </c>
    </row>
    <row r="47" spans="1:12" ht="15.6" x14ac:dyDescent="0.3">
      <c r="A47" s="191" t="s">
        <v>344</v>
      </c>
      <c r="B47" s="216"/>
      <c r="C47" s="206"/>
      <c r="D47" s="365">
        <v>0.82595499999999999</v>
      </c>
      <c r="E47" s="353">
        <v>0.92740800000000001</v>
      </c>
      <c r="F47" s="215">
        <v>0.85832399999999998</v>
      </c>
      <c r="G47" s="215">
        <v>1.0414129999999999</v>
      </c>
      <c r="H47" s="215">
        <v>0.77822800000000003</v>
      </c>
      <c r="I47" s="215">
        <v>0.85966799999999999</v>
      </c>
      <c r="J47" s="215">
        <v>0.765154</v>
      </c>
      <c r="K47" s="215">
        <v>0.92031600000000002</v>
      </c>
    </row>
    <row r="48" spans="1:12" ht="16.2" thickBot="1" x14ac:dyDescent="0.35">
      <c r="A48" s="209" t="s">
        <v>345</v>
      </c>
      <c r="B48" s="217"/>
      <c r="C48" s="211"/>
      <c r="D48" s="427">
        <v>1.7243999999999999E-2</v>
      </c>
      <c r="E48" s="354">
        <v>1.7340000000000001E-2</v>
      </c>
      <c r="F48" s="218">
        <v>1.5685000000000001E-2</v>
      </c>
      <c r="G48" s="218">
        <v>1.4832E-2</v>
      </c>
      <c r="H48" s="218">
        <v>1.5148999999999999E-2</v>
      </c>
      <c r="I48" s="218">
        <v>1.6066E-2</v>
      </c>
      <c r="J48" s="218">
        <v>1.6714E-2</v>
      </c>
      <c r="K48" s="218">
        <v>1.7975000000000001E-2</v>
      </c>
    </row>
    <row r="50" spans="5:6" x14ac:dyDescent="0.25">
      <c r="E50" s="90"/>
      <c r="F50" s="9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8"/>
  <sheetViews>
    <sheetView showGridLines="0" topLeftCell="A25" workbookViewId="0">
      <selection activeCell="E50" sqref="E50"/>
    </sheetView>
  </sheetViews>
  <sheetFormatPr defaultRowHeight="13.2" x14ac:dyDescent="0.25"/>
  <cols>
    <col min="3" max="3" width="41.6640625" customWidth="1"/>
    <col min="4" max="4" width="11.33203125" style="90" customWidth="1"/>
    <col min="5" max="5" width="11.33203125" style="271" customWidth="1"/>
    <col min="6" max="6" width="10.77734375" hidden="1" customWidth="1"/>
    <col min="7" max="10" width="10.77734375" customWidth="1"/>
    <col min="11" max="11" width="10.77734375" style="90" customWidth="1"/>
    <col min="12" max="12" width="9.109375" bestFit="1" customWidth="1"/>
  </cols>
  <sheetData>
    <row r="1" spans="1:12" ht="15.6" x14ac:dyDescent="0.3">
      <c r="A1" s="179" t="s">
        <v>481</v>
      </c>
      <c r="B1" s="180"/>
      <c r="C1" s="181"/>
      <c r="D1" s="181"/>
      <c r="E1" s="181"/>
      <c r="F1" s="182"/>
      <c r="G1" s="183"/>
      <c r="H1" s="183"/>
      <c r="I1" s="183"/>
      <c r="J1" s="183"/>
      <c r="K1" s="182"/>
    </row>
    <row r="2" spans="1:12" s="90" customFormat="1" ht="21.6" customHeight="1" x14ac:dyDescent="0.25">
      <c r="A2" s="205" t="s">
        <v>483</v>
      </c>
      <c r="B2" s="180"/>
      <c r="C2" s="181"/>
      <c r="D2" s="368" t="s">
        <v>492</v>
      </c>
      <c r="E2" s="366" t="s">
        <v>535</v>
      </c>
      <c r="F2" s="331" t="s">
        <v>493</v>
      </c>
      <c r="G2" s="331" t="s">
        <v>493</v>
      </c>
      <c r="H2" s="331" t="s">
        <v>493</v>
      </c>
      <c r="I2" s="331" t="s">
        <v>493</v>
      </c>
      <c r="J2" s="331" t="s">
        <v>493</v>
      </c>
      <c r="K2" s="331" t="s">
        <v>493</v>
      </c>
    </row>
    <row r="3" spans="1:12" x14ac:dyDescent="0.25">
      <c r="A3" s="184" t="s">
        <v>461</v>
      </c>
      <c r="B3" s="185"/>
      <c r="C3" s="185"/>
      <c r="D3" s="358" t="s">
        <v>534</v>
      </c>
      <c r="E3" s="350" t="s">
        <v>491</v>
      </c>
      <c r="F3" s="332" t="s">
        <v>496</v>
      </c>
      <c r="G3" s="333" t="s">
        <v>476</v>
      </c>
      <c r="H3" s="333" t="s">
        <v>454</v>
      </c>
      <c r="I3" s="333" t="s">
        <v>449</v>
      </c>
      <c r="J3" s="333" t="s">
        <v>440</v>
      </c>
      <c r="K3" s="332" t="s">
        <v>495</v>
      </c>
    </row>
    <row r="4" spans="1:12" x14ac:dyDescent="0.25">
      <c r="A4" s="188" t="s">
        <v>328</v>
      </c>
      <c r="B4" s="189"/>
      <c r="C4" s="189"/>
      <c r="D4" s="359">
        <v>241.45966799999999</v>
      </c>
      <c r="E4" s="374">
        <v>247.767123</v>
      </c>
      <c r="F4" s="220">
        <v>887.67132600000002</v>
      </c>
      <c r="G4" s="220">
        <v>234.086152</v>
      </c>
      <c r="H4" s="220">
        <v>217.62990500000001</v>
      </c>
      <c r="I4" s="220">
        <v>220.00597999999999</v>
      </c>
      <c r="J4" s="220">
        <v>215.94928899999999</v>
      </c>
      <c r="K4" s="220">
        <v>848.58537699999999</v>
      </c>
      <c r="L4" s="220"/>
    </row>
    <row r="5" spans="1:12" x14ac:dyDescent="0.25">
      <c r="A5" s="190" t="s">
        <v>441</v>
      </c>
      <c r="B5" s="189"/>
      <c r="C5" s="189"/>
      <c r="D5" s="359">
        <v>23.919955000000002</v>
      </c>
      <c r="E5" s="374">
        <v>26.977301000000001</v>
      </c>
      <c r="F5" s="220">
        <v>85.831822000000003</v>
      </c>
      <c r="G5" s="220">
        <v>21.087316999999999</v>
      </c>
      <c r="H5" s="220">
        <v>24.516515999999999</v>
      </c>
      <c r="I5" s="220">
        <v>21.806839</v>
      </c>
      <c r="J5" s="220">
        <v>18.421150000000001</v>
      </c>
      <c r="K5" s="220">
        <v>78.147012000000004</v>
      </c>
    </row>
    <row r="6" spans="1:12" x14ac:dyDescent="0.25">
      <c r="A6" s="191" t="s">
        <v>442</v>
      </c>
      <c r="B6" s="189"/>
      <c r="C6" s="189"/>
      <c r="D6" s="359">
        <v>61.760224000000001</v>
      </c>
      <c r="E6" s="374">
        <v>57.145535000000002</v>
      </c>
      <c r="F6" s="220">
        <v>216.28375700000001</v>
      </c>
      <c r="G6" s="220">
        <v>58.965867000000003</v>
      </c>
      <c r="H6" s="220">
        <v>55.965577000000003</v>
      </c>
      <c r="I6" s="220">
        <v>52.508907000000001</v>
      </c>
      <c r="J6" s="220">
        <v>48.843406000000002</v>
      </c>
      <c r="K6" s="220">
        <v>189.95001199999999</v>
      </c>
    </row>
    <row r="7" spans="1:12" x14ac:dyDescent="0.25">
      <c r="A7" s="191" t="s">
        <v>443</v>
      </c>
      <c r="B7" s="189"/>
      <c r="C7" s="189"/>
      <c r="D7" s="359">
        <v>-37.840268999999999</v>
      </c>
      <c r="E7" s="374">
        <v>-30.168234000000002</v>
      </c>
      <c r="F7" s="220">
        <v>-130.45193499999999</v>
      </c>
      <c r="G7" s="220">
        <v>-37.878549999999997</v>
      </c>
      <c r="H7" s="220">
        <v>-31.449061</v>
      </c>
      <c r="I7" s="220">
        <v>-30.702068000000001</v>
      </c>
      <c r="J7" s="220">
        <v>-30.422256000000001</v>
      </c>
      <c r="K7" s="220">
        <v>-111.803</v>
      </c>
    </row>
    <row r="8" spans="1:12" x14ac:dyDescent="0.25">
      <c r="A8" s="188" t="s">
        <v>444</v>
      </c>
      <c r="B8" s="189"/>
      <c r="C8" s="189"/>
      <c r="D8" s="359">
        <v>14.764134</v>
      </c>
      <c r="E8" s="374">
        <v>14.544138999999999</v>
      </c>
      <c r="F8" s="220">
        <v>-342.04076099999997</v>
      </c>
      <c r="G8" s="220">
        <v>13.622123</v>
      </c>
      <c r="H8" s="220">
        <v>12.201110999999999</v>
      </c>
      <c r="I8" s="220">
        <v>12.048855</v>
      </c>
      <c r="J8" s="220">
        <v>10.556072</v>
      </c>
      <c r="K8" s="220">
        <v>-346.24324899999999</v>
      </c>
    </row>
    <row r="9" spans="1:12" x14ac:dyDescent="0.25">
      <c r="A9" s="191" t="s">
        <v>445</v>
      </c>
      <c r="B9" s="189"/>
      <c r="C9" s="189"/>
      <c r="D9" s="359">
        <v>57.526386000000002</v>
      </c>
      <c r="E9" s="374">
        <v>60.370052000000001</v>
      </c>
      <c r="F9" s="220">
        <v>260.01698699999997</v>
      </c>
      <c r="G9" s="220">
        <v>96.190914000000006</v>
      </c>
      <c r="H9" s="220">
        <v>68.365651999999997</v>
      </c>
      <c r="I9" s="220">
        <v>47.137515</v>
      </c>
      <c r="J9" s="220">
        <v>48.322906000000003</v>
      </c>
      <c r="K9" s="220">
        <v>270.62347999999997</v>
      </c>
    </row>
    <row r="10" spans="1:12" x14ac:dyDescent="0.25">
      <c r="A10" s="191" t="s">
        <v>446</v>
      </c>
      <c r="B10" s="189"/>
      <c r="C10" s="189"/>
      <c r="D10" s="359">
        <v>-42.762251999999997</v>
      </c>
      <c r="E10" s="374">
        <v>-45.825913</v>
      </c>
      <c r="F10" s="220">
        <v>-211.58882600000001</v>
      </c>
      <c r="G10" s="220">
        <v>-82.568791000000004</v>
      </c>
      <c r="H10" s="220">
        <v>-56.164541</v>
      </c>
      <c r="I10" s="220">
        <v>-35.088659999999997</v>
      </c>
      <c r="J10" s="220">
        <v>-37.766834000000003</v>
      </c>
      <c r="K10" s="220">
        <v>-234.44024899999999</v>
      </c>
    </row>
    <row r="11" spans="1:12" x14ac:dyDescent="0.25">
      <c r="A11" s="188" t="s">
        <v>333</v>
      </c>
      <c r="B11" s="189"/>
      <c r="C11" s="189"/>
      <c r="D11" s="359">
        <v>-2.0355669999999999</v>
      </c>
      <c r="E11" s="374">
        <v>-2.853745</v>
      </c>
      <c r="F11" s="220">
        <v>-3.5717150000000002</v>
      </c>
      <c r="G11" s="220">
        <v>2.1100509999999999</v>
      </c>
      <c r="H11" s="220">
        <v>-1.820959</v>
      </c>
      <c r="I11" s="220">
        <v>-2.3904369999999999</v>
      </c>
      <c r="J11" s="220">
        <v>-1.47037</v>
      </c>
      <c r="K11" s="220">
        <v>-3.5649489999999999</v>
      </c>
    </row>
    <row r="12" spans="1:12" x14ac:dyDescent="0.25">
      <c r="A12" s="192" t="s">
        <v>334</v>
      </c>
      <c r="B12" s="189"/>
      <c r="C12" s="193"/>
      <c r="D12" s="359">
        <v>0.2429</v>
      </c>
      <c r="E12" s="374">
        <v>4.0415E-2</v>
      </c>
      <c r="F12" s="220">
        <v>0.42527799999999999</v>
      </c>
      <c r="G12" s="220">
        <v>3.0831999999999998E-2</v>
      </c>
      <c r="H12" s="220">
        <v>0.103698</v>
      </c>
      <c r="I12" s="220">
        <v>0.270874</v>
      </c>
      <c r="J12" s="220">
        <v>1.9873999999999999E-2</v>
      </c>
      <c r="K12" s="220">
        <v>0.29764699999999999</v>
      </c>
    </row>
    <row r="13" spans="1:12" x14ac:dyDescent="0.25">
      <c r="A13" s="194" t="s">
        <v>462</v>
      </c>
      <c r="B13" s="189"/>
      <c r="C13" s="189"/>
      <c r="D13" s="359">
        <v>7.8579829999999999</v>
      </c>
      <c r="E13" s="374">
        <v>40.032001999999999</v>
      </c>
      <c r="F13" s="220">
        <v>222.435563</v>
      </c>
      <c r="G13" s="220">
        <v>53.852851999999999</v>
      </c>
      <c r="H13" s="220">
        <v>53.493687000000001</v>
      </c>
      <c r="I13" s="220">
        <v>65.304439000000002</v>
      </c>
      <c r="J13" s="220">
        <v>49.784585</v>
      </c>
      <c r="K13" s="220">
        <v>116.825816</v>
      </c>
    </row>
    <row r="14" spans="1:12" s="90" customFormat="1" x14ac:dyDescent="0.25">
      <c r="A14" s="194" t="s">
        <v>335</v>
      </c>
      <c r="B14" s="189"/>
      <c r="C14" s="189"/>
      <c r="D14" s="359"/>
      <c r="E14" s="374"/>
      <c r="F14" s="220">
        <v>16.818504000000001</v>
      </c>
      <c r="G14" s="220">
        <v>0.33922999999999998</v>
      </c>
      <c r="H14" s="220">
        <v>-0.50365800000000005</v>
      </c>
      <c r="I14" s="220">
        <v>5.7600959999999999</v>
      </c>
      <c r="J14" s="220">
        <v>11.222835999999999</v>
      </c>
      <c r="K14" s="220">
        <v>47.750843000000003</v>
      </c>
    </row>
    <row r="15" spans="1:12" x14ac:dyDescent="0.25">
      <c r="A15" s="188" t="s">
        <v>494</v>
      </c>
      <c r="B15" s="189"/>
      <c r="C15" s="189"/>
      <c r="D15" s="359">
        <v>3.1516000000000002E-2</v>
      </c>
      <c r="E15" s="374">
        <v>-2.4732000000000001E-2</v>
      </c>
      <c r="F15" s="220"/>
      <c r="G15" s="220"/>
      <c r="H15" s="220"/>
      <c r="I15" s="220"/>
      <c r="J15" s="220"/>
      <c r="K15" s="220"/>
    </row>
    <row r="16" spans="1:12" x14ac:dyDescent="0.25">
      <c r="A16" s="188" t="s">
        <v>336</v>
      </c>
      <c r="B16" s="189"/>
      <c r="C16" s="189"/>
      <c r="D16" s="359">
        <v>64.123124000000004</v>
      </c>
      <c r="E16" s="374">
        <v>66.912865999999994</v>
      </c>
      <c r="F16" s="220">
        <v>191.67857699999999</v>
      </c>
      <c r="G16" s="220">
        <v>53.31776</v>
      </c>
      <c r="H16" s="220">
        <v>43.419693000000002</v>
      </c>
      <c r="I16" s="220">
        <v>47.494546</v>
      </c>
      <c r="J16" s="220">
        <v>47.446578000000002</v>
      </c>
      <c r="K16" s="220">
        <v>190.68934100000001</v>
      </c>
    </row>
    <row r="17" spans="1:12" x14ac:dyDescent="0.25">
      <c r="A17" s="188" t="s">
        <v>447</v>
      </c>
      <c r="B17" s="189"/>
      <c r="C17" s="189"/>
      <c r="D17" s="359">
        <v>3.0144069999999998</v>
      </c>
      <c r="E17" s="374">
        <v>4.1811230000000004</v>
      </c>
      <c r="F17" s="220">
        <v>40.221043000000002</v>
      </c>
      <c r="G17" s="220">
        <v>4.3677970000000004</v>
      </c>
      <c r="H17" s="220">
        <v>5.1994999999999996</v>
      </c>
      <c r="I17" s="220">
        <v>4.6035009999999996</v>
      </c>
      <c r="J17" s="220">
        <v>26.050245</v>
      </c>
      <c r="K17" s="220">
        <v>17.615808999999999</v>
      </c>
    </row>
    <row r="18" spans="1:12" x14ac:dyDescent="0.25">
      <c r="A18" s="231" t="s">
        <v>463</v>
      </c>
      <c r="B18" s="232"/>
      <c r="C18" s="232"/>
      <c r="D18" s="360">
        <v>353.37812000000002</v>
      </c>
      <c r="E18" s="274">
        <v>397.57649199999997</v>
      </c>
      <c r="F18" s="230">
        <v>1489.9385589999999</v>
      </c>
      <c r="G18" s="230">
        <v>382.81411400000002</v>
      </c>
      <c r="H18" s="230">
        <v>354.23949299999998</v>
      </c>
      <c r="I18" s="230">
        <v>374.90469300000001</v>
      </c>
      <c r="J18" s="230">
        <v>377.98025899999999</v>
      </c>
      <c r="K18" s="230">
        <v>1332.530127</v>
      </c>
    </row>
    <row r="19" spans="1:12" x14ac:dyDescent="0.25">
      <c r="A19" s="188" t="s">
        <v>303</v>
      </c>
      <c r="B19" s="197"/>
      <c r="C19" s="197"/>
      <c r="D19" s="359">
        <v>-172.677244</v>
      </c>
      <c r="E19" s="220">
        <v>-189.31707900000001</v>
      </c>
      <c r="F19" s="220">
        <v>-645.50663999999995</v>
      </c>
      <c r="G19" s="220">
        <v>-176.61078499999999</v>
      </c>
      <c r="H19" s="220">
        <v>-152.796593</v>
      </c>
      <c r="I19" s="220">
        <v>-150.74039300000001</v>
      </c>
      <c r="J19" s="220">
        <v>-165.358869</v>
      </c>
      <c r="K19" s="220">
        <v>-608.138822</v>
      </c>
    </row>
    <row r="20" spans="1:12" x14ac:dyDescent="0.25">
      <c r="A20" s="188" t="s">
        <v>304</v>
      </c>
      <c r="B20" s="189"/>
      <c r="C20" s="189"/>
      <c r="D20" s="359">
        <v>-9.4030509999999996</v>
      </c>
      <c r="E20" s="220">
        <v>-6.7253720000000001</v>
      </c>
      <c r="F20" s="220">
        <v>-23.691647</v>
      </c>
      <c r="G20" s="220">
        <v>-10.817487</v>
      </c>
      <c r="H20" s="220">
        <v>-3.143284</v>
      </c>
      <c r="I20" s="220">
        <v>-10.850132</v>
      </c>
      <c r="J20" s="220">
        <v>1.119256</v>
      </c>
      <c r="K20" s="220">
        <v>-24.015329999999999</v>
      </c>
    </row>
    <row r="21" spans="1:12" x14ac:dyDescent="0.25">
      <c r="A21" s="191" t="s">
        <v>530</v>
      </c>
      <c r="B21" s="189"/>
      <c r="C21" s="189"/>
      <c r="D21" s="359"/>
      <c r="E21" s="220"/>
      <c r="F21" s="220">
        <v>-4.9693110000000003</v>
      </c>
      <c r="G21" s="220">
        <v>2.2711399999999999</v>
      </c>
      <c r="H21" s="220">
        <v>-0.81559400000000004</v>
      </c>
      <c r="I21" s="220">
        <v>-7.3375029999999999</v>
      </c>
      <c r="J21" s="220">
        <v>0.91264599999999996</v>
      </c>
      <c r="K21" s="220">
        <v>-22.819524000000001</v>
      </c>
    </row>
    <row r="22" spans="1:12" s="90" customFormat="1" x14ac:dyDescent="0.25">
      <c r="A22" s="191" t="s">
        <v>531</v>
      </c>
      <c r="B22" s="189"/>
      <c r="C22" s="189"/>
      <c r="D22" s="359">
        <v>3.7332450000000001</v>
      </c>
      <c r="E22" s="220">
        <v>-0.51504399999999995</v>
      </c>
      <c r="F22" s="220"/>
      <c r="G22" s="220"/>
      <c r="H22" s="220"/>
      <c r="I22" s="220"/>
      <c r="J22" s="220"/>
      <c r="K22" s="220"/>
    </row>
    <row r="23" spans="1:12" x14ac:dyDescent="0.25">
      <c r="A23" s="191" t="s">
        <v>532</v>
      </c>
      <c r="B23" s="189"/>
      <c r="C23" s="189"/>
      <c r="D23" s="359"/>
      <c r="E23" s="220"/>
      <c r="F23" s="220">
        <v>-0.97263900000000003</v>
      </c>
      <c r="G23" s="220">
        <v>-0.93013900000000005</v>
      </c>
      <c r="H23" s="220">
        <v>-3.9500000000000001E-4</v>
      </c>
      <c r="I23" s="220">
        <v>-4.2104999999999997E-2</v>
      </c>
      <c r="J23" s="220">
        <v>0</v>
      </c>
      <c r="K23" s="220">
        <v>2.7961469999999999</v>
      </c>
    </row>
    <row r="24" spans="1:12" s="90" customFormat="1" x14ac:dyDescent="0.25">
      <c r="A24" s="191" t="s">
        <v>533</v>
      </c>
      <c r="B24" s="189"/>
      <c r="C24" s="189"/>
      <c r="D24" s="359">
        <v>6.5930000000000002E-2</v>
      </c>
      <c r="E24" s="220">
        <v>1.2239999999999999E-2</v>
      </c>
      <c r="F24" s="220"/>
      <c r="G24" s="220"/>
      <c r="H24" s="220"/>
      <c r="I24" s="220"/>
      <c r="J24" s="220"/>
      <c r="K24" s="220"/>
    </row>
    <row r="25" spans="1:12" x14ac:dyDescent="0.25">
      <c r="A25" s="191" t="s">
        <v>464</v>
      </c>
      <c r="B25" s="189"/>
      <c r="C25" s="189"/>
      <c r="D25" s="359">
        <v>-13.202226</v>
      </c>
      <c r="E25" s="220">
        <v>-6.2225679999999999</v>
      </c>
      <c r="F25" s="220">
        <v>-17.749697000000001</v>
      </c>
      <c r="G25" s="220">
        <v>-12.158488</v>
      </c>
      <c r="H25" s="220">
        <v>-2.3272949999999999</v>
      </c>
      <c r="I25" s="220">
        <v>-3.4705240000000002</v>
      </c>
      <c r="J25" s="220">
        <v>0.20660999999999999</v>
      </c>
      <c r="K25" s="220">
        <v>-3.9919530000000001</v>
      </c>
    </row>
    <row r="26" spans="1:12" x14ac:dyDescent="0.25">
      <c r="A26" s="188" t="s">
        <v>355</v>
      </c>
      <c r="B26" s="189"/>
      <c r="C26" s="193"/>
      <c r="D26" s="359">
        <v>6.0941799999999997</v>
      </c>
      <c r="E26" s="220">
        <v>5.9043700000000001</v>
      </c>
      <c r="F26" s="220">
        <v>21.146531</v>
      </c>
      <c r="G26" s="220">
        <v>4.5044890000000004</v>
      </c>
      <c r="H26" s="220">
        <v>6.4213639999999996</v>
      </c>
      <c r="I26" s="220">
        <v>5.8823259999999999</v>
      </c>
      <c r="J26" s="220">
        <v>4.3383520000000004</v>
      </c>
      <c r="K26" s="220">
        <v>23.292694000000001</v>
      </c>
    </row>
    <row r="27" spans="1:12" x14ac:dyDescent="0.25">
      <c r="A27" s="233" t="s">
        <v>465</v>
      </c>
      <c r="B27" s="232"/>
      <c r="C27" s="232"/>
      <c r="D27" s="360">
        <v>177.39200500000001</v>
      </c>
      <c r="E27" s="230">
        <v>207.438411</v>
      </c>
      <c r="F27" s="230">
        <v>841.88680299999999</v>
      </c>
      <c r="G27" s="230">
        <v>199.890331</v>
      </c>
      <c r="H27" s="230">
        <v>204.72098</v>
      </c>
      <c r="I27" s="230">
        <v>219.196494</v>
      </c>
      <c r="J27" s="230">
        <v>218.07899800000001</v>
      </c>
      <c r="K27" s="230">
        <v>723.66866900000002</v>
      </c>
      <c r="L27" s="90"/>
    </row>
    <row r="28" spans="1:12" x14ac:dyDescent="0.25">
      <c r="A28" s="233" t="s">
        <v>340</v>
      </c>
      <c r="B28" s="234"/>
      <c r="C28" s="234"/>
      <c r="D28" s="360">
        <v>-32.671135</v>
      </c>
      <c r="E28" s="230">
        <v>-36.139239000000003</v>
      </c>
      <c r="F28" s="230">
        <v>-140.25931800000001</v>
      </c>
      <c r="G28" s="230">
        <v>-32.584662000000002</v>
      </c>
      <c r="H28" s="230">
        <v>-34.258222000000004</v>
      </c>
      <c r="I28" s="230">
        <v>-36.533738999999997</v>
      </c>
      <c r="J28" s="230">
        <v>-36.882694999999998</v>
      </c>
      <c r="K28" s="230">
        <v>-127.92297600000001</v>
      </c>
      <c r="L28" s="90"/>
    </row>
    <row r="29" spans="1:12" x14ac:dyDescent="0.25">
      <c r="A29" s="233" t="s">
        <v>466</v>
      </c>
      <c r="B29" s="232"/>
      <c r="C29" s="232"/>
      <c r="D29" s="360">
        <v>144.72086999999999</v>
      </c>
      <c r="E29" s="230">
        <v>171.299172</v>
      </c>
      <c r="F29" s="230">
        <v>701.62748499999998</v>
      </c>
      <c r="G29" s="230">
        <v>167.30566899999999</v>
      </c>
      <c r="H29" s="230">
        <v>170.46275800000001</v>
      </c>
      <c r="I29" s="230">
        <v>182.662755</v>
      </c>
      <c r="J29" s="230">
        <v>181.196303</v>
      </c>
      <c r="K29" s="230">
        <v>595.74569299999996</v>
      </c>
      <c r="L29" s="90"/>
    </row>
    <row r="30" spans="1:12" x14ac:dyDescent="0.25">
      <c r="A30" s="191" t="s">
        <v>467</v>
      </c>
      <c r="B30" s="189"/>
      <c r="C30" s="189"/>
      <c r="D30" s="359">
        <v>0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  <c r="L30" s="90"/>
    </row>
    <row r="31" spans="1:12" x14ac:dyDescent="0.25">
      <c r="A31" s="235" t="s">
        <v>346</v>
      </c>
      <c r="B31" s="236"/>
      <c r="C31" s="236"/>
      <c r="D31" s="362">
        <v>144.72086999999999</v>
      </c>
      <c r="E31" s="220">
        <v>171.299172</v>
      </c>
      <c r="F31" s="220">
        <v>701.62748499999998</v>
      </c>
      <c r="G31" s="220">
        <v>167.30566899999999</v>
      </c>
      <c r="H31" s="220">
        <v>170.46275800000001</v>
      </c>
      <c r="I31" s="220">
        <v>182.662755</v>
      </c>
      <c r="J31" s="220">
        <v>181.196303</v>
      </c>
      <c r="K31" s="220">
        <v>595.74569299999996</v>
      </c>
      <c r="L31" s="90"/>
    </row>
    <row r="32" spans="1:12" x14ac:dyDescent="0.25">
      <c r="A32" s="237" t="s">
        <v>325</v>
      </c>
      <c r="B32" s="238"/>
      <c r="C32" s="239"/>
      <c r="D32" s="359">
        <v>137.44266400000001</v>
      </c>
      <c r="E32" s="240">
        <v>159.56464099999999</v>
      </c>
      <c r="F32" s="240">
        <v>669.02644899999996</v>
      </c>
      <c r="G32" s="240">
        <v>157.08570800000001</v>
      </c>
      <c r="H32" s="240">
        <v>161.696842</v>
      </c>
      <c r="I32" s="240">
        <v>175.99937800000001</v>
      </c>
      <c r="J32" s="240">
        <v>174.24452099999999</v>
      </c>
      <c r="K32" s="240">
        <v>563.59592699999996</v>
      </c>
      <c r="L32" s="90"/>
    </row>
    <row r="33" spans="1:12" ht="21" x14ac:dyDescent="0.25">
      <c r="A33" s="241" t="s">
        <v>326</v>
      </c>
      <c r="B33" s="146"/>
      <c r="C33" s="146"/>
      <c r="D33" s="362">
        <v>7.278206</v>
      </c>
      <c r="E33" s="242">
        <v>11.734531</v>
      </c>
      <c r="F33" s="242">
        <v>32.601036000000001</v>
      </c>
      <c r="G33" s="242">
        <v>10.219961</v>
      </c>
      <c r="H33" s="242">
        <v>8.7659160000000007</v>
      </c>
      <c r="I33" s="242">
        <v>6.6633769999999997</v>
      </c>
      <c r="J33" s="242">
        <v>6.9517819999999997</v>
      </c>
      <c r="K33" s="242">
        <v>32.149766</v>
      </c>
      <c r="L33" s="90"/>
    </row>
    <row r="34" spans="1:12" ht="21" x14ac:dyDescent="0.25">
      <c r="A34" s="205" t="s">
        <v>468</v>
      </c>
      <c r="B34" s="145"/>
      <c r="C34" s="206"/>
      <c r="D34" s="369"/>
      <c r="E34" s="206"/>
      <c r="F34" s="269"/>
      <c r="G34" s="208"/>
      <c r="H34" s="208"/>
      <c r="I34" s="208"/>
      <c r="J34" s="208"/>
      <c r="K34" s="207"/>
      <c r="L34" s="90"/>
    </row>
    <row r="35" spans="1:12" ht="15.6" x14ac:dyDescent="0.25">
      <c r="A35" s="191" t="s">
        <v>477</v>
      </c>
      <c r="B35" s="132"/>
      <c r="C35" s="206"/>
      <c r="D35" s="359">
        <v>22751.176177000001</v>
      </c>
      <c r="E35" s="220">
        <v>22656.187430000002</v>
      </c>
      <c r="F35" s="220">
        <v>22302.745456000001</v>
      </c>
      <c r="G35" s="220">
        <v>22302.745456000001</v>
      </c>
      <c r="H35" s="220">
        <v>22154.569116999999</v>
      </c>
      <c r="I35" s="220">
        <v>21520.167870000001</v>
      </c>
      <c r="J35" s="220">
        <v>20252.983614000001</v>
      </c>
      <c r="K35" s="220">
        <v>19551.681596999999</v>
      </c>
      <c r="L35" s="90"/>
    </row>
    <row r="36" spans="1:12" ht="15.6" x14ac:dyDescent="0.3">
      <c r="A36" s="191" t="s">
        <v>478</v>
      </c>
      <c r="B36" s="105"/>
      <c r="C36" s="206"/>
      <c r="D36" s="359">
        <v>10783.541743</v>
      </c>
      <c r="E36" s="220">
        <v>10837.182564000001</v>
      </c>
      <c r="F36" s="220">
        <v>10652.759311</v>
      </c>
      <c r="G36" s="220">
        <v>10652.759311</v>
      </c>
      <c r="H36" s="220">
        <v>10245.400524000001</v>
      </c>
      <c r="I36" s="220">
        <v>9867.0268520000009</v>
      </c>
      <c r="J36" s="220">
        <v>9273.4553959999994</v>
      </c>
      <c r="K36" s="220">
        <v>9077.0666799999999</v>
      </c>
      <c r="L36" s="90"/>
    </row>
    <row r="37" spans="1:12" ht="15.6" x14ac:dyDescent="0.3">
      <c r="A37" s="248" t="s">
        <v>479</v>
      </c>
      <c r="B37" s="147"/>
      <c r="C37" s="249"/>
      <c r="D37" s="362">
        <v>30868.391435000001</v>
      </c>
      <c r="E37" s="242">
        <v>30551.674466</v>
      </c>
      <c r="F37" s="242">
        <v>30245.720621</v>
      </c>
      <c r="G37" s="242">
        <v>30245.720621</v>
      </c>
      <c r="H37" s="242">
        <v>29528.857211999999</v>
      </c>
      <c r="I37" s="242">
        <v>28925.134664000001</v>
      </c>
      <c r="J37" s="242">
        <v>27770.424008000002</v>
      </c>
      <c r="K37" s="242">
        <v>26183.425263000001</v>
      </c>
      <c r="L37" s="90"/>
    </row>
    <row r="38" spans="1:12" ht="21" x14ac:dyDescent="0.25">
      <c r="A38" s="205" t="s">
        <v>469</v>
      </c>
      <c r="B38" s="145"/>
      <c r="C38" s="206"/>
      <c r="D38" s="370"/>
      <c r="E38" s="229"/>
      <c r="F38" s="220"/>
      <c r="G38" s="220"/>
      <c r="H38" s="220"/>
      <c r="I38" s="220"/>
      <c r="J38" s="220"/>
      <c r="K38" s="220"/>
      <c r="L38" s="90"/>
    </row>
    <row r="39" spans="1:12" ht="15.6" x14ac:dyDescent="0.3">
      <c r="A39" s="191" t="s">
        <v>470</v>
      </c>
      <c r="B39" s="105"/>
      <c r="C39" s="206"/>
      <c r="D39" s="359">
        <v>603.37297699999999</v>
      </c>
      <c r="E39" s="220">
        <v>617.09022500000003</v>
      </c>
      <c r="F39" s="220">
        <v>613.42959099999996</v>
      </c>
      <c r="G39" s="220">
        <v>613.42959099999996</v>
      </c>
      <c r="H39" s="220">
        <v>600.633599</v>
      </c>
      <c r="I39" s="220">
        <v>594.46350900000004</v>
      </c>
      <c r="J39" s="220">
        <v>576.20682599999998</v>
      </c>
      <c r="K39" s="220">
        <v>575.293588</v>
      </c>
      <c r="L39" s="90"/>
    </row>
    <row r="40" spans="1:12" ht="15.6" x14ac:dyDescent="0.3">
      <c r="A40" s="191" t="s">
        <v>471</v>
      </c>
      <c r="B40" s="105"/>
      <c r="C40" s="243"/>
      <c r="D40" s="359">
        <v>622.748605</v>
      </c>
      <c r="E40" s="220">
        <v>623.01043600000003</v>
      </c>
      <c r="F40" s="220">
        <v>621.89882899999998</v>
      </c>
      <c r="G40" s="220">
        <v>621.89882899999998</v>
      </c>
      <c r="H40" s="220">
        <v>556.31942300000003</v>
      </c>
      <c r="I40" s="220">
        <v>548.55036299999995</v>
      </c>
      <c r="J40" s="220">
        <v>524.74159899999995</v>
      </c>
      <c r="K40" s="220">
        <v>525.36243300000001</v>
      </c>
      <c r="L40" s="90"/>
    </row>
    <row r="41" spans="1:12" ht="15.6" x14ac:dyDescent="0.3">
      <c r="A41" s="244" t="s">
        <v>472</v>
      </c>
      <c r="B41" s="247"/>
      <c r="C41" s="246"/>
      <c r="D41" s="371"/>
      <c r="E41" s="367"/>
      <c r="F41" s="240"/>
      <c r="G41" s="240"/>
      <c r="H41" s="240"/>
      <c r="I41" s="240"/>
      <c r="J41" s="240"/>
      <c r="K41" s="240"/>
      <c r="L41" s="90"/>
    </row>
    <row r="42" spans="1:12" ht="15.6" x14ac:dyDescent="0.3">
      <c r="A42" s="191" t="s">
        <v>480</v>
      </c>
      <c r="B42" s="213"/>
      <c r="C42" s="214"/>
      <c r="D42" s="375">
        <v>14716788549</v>
      </c>
      <c r="E42" s="220">
        <v>14683.225095</v>
      </c>
      <c r="F42" s="220">
        <v>15397.398179</v>
      </c>
      <c r="G42" s="220">
        <v>15397.398179</v>
      </c>
      <c r="H42" s="220">
        <v>14854.509631000001</v>
      </c>
      <c r="I42" s="220">
        <v>15038.862669</v>
      </c>
      <c r="J42" s="220">
        <v>14386.167100000001</v>
      </c>
      <c r="K42" s="220">
        <v>13748.063314999999</v>
      </c>
      <c r="L42" s="90"/>
    </row>
    <row r="43" spans="1:12" ht="15.6" x14ac:dyDescent="0.3">
      <c r="A43" s="191" t="s">
        <v>473</v>
      </c>
      <c r="B43" s="105"/>
      <c r="C43" s="206"/>
      <c r="D43" s="375">
        <v>122119012</v>
      </c>
      <c r="E43" s="220">
        <v>126.66602899999999</v>
      </c>
      <c r="F43" s="220">
        <v>114.40481699999999</v>
      </c>
      <c r="G43" s="220">
        <v>114.40481699999999</v>
      </c>
      <c r="H43" s="220">
        <v>117.523207</v>
      </c>
      <c r="I43" s="220">
        <v>115.58013800000001</v>
      </c>
      <c r="J43" s="220">
        <v>109.885139</v>
      </c>
      <c r="K43" s="220">
        <v>103.422572</v>
      </c>
      <c r="L43" s="90"/>
    </row>
    <row r="44" spans="1:12" ht="15.6" x14ac:dyDescent="0.3">
      <c r="A44" s="191" t="s">
        <v>327</v>
      </c>
      <c r="B44" s="105"/>
      <c r="C44" s="206"/>
      <c r="D44" s="375">
        <v>1682098598.194</v>
      </c>
      <c r="E44" s="220">
        <v>1683.0878890699998</v>
      </c>
      <c r="F44" s="220">
        <v>1715.734227616</v>
      </c>
      <c r="G44" s="220">
        <v>1715.734227616</v>
      </c>
      <c r="H44" s="220">
        <v>1662.392208624</v>
      </c>
      <c r="I44" s="220">
        <v>1679.6218555759999</v>
      </c>
      <c r="J44" s="220">
        <v>1606.0465174000001</v>
      </c>
      <c r="K44" s="220">
        <v>1503.9486396824998</v>
      </c>
      <c r="L44" s="90"/>
    </row>
    <row r="45" spans="1:12" ht="15.6" x14ac:dyDescent="0.3">
      <c r="A45" s="191" t="s">
        <v>342</v>
      </c>
      <c r="B45" s="105"/>
      <c r="C45" s="206"/>
      <c r="D45" s="372">
        <v>0.34048200000000001</v>
      </c>
      <c r="E45" s="215">
        <v>0.39814899999999998</v>
      </c>
      <c r="F45" s="215">
        <v>0.39824300000000001</v>
      </c>
      <c r="G45" s="215">
        <v>0.39824300000000001</v>
      </c>
      <c r="H45" s="215">
        <v>0.41662500000000002</v>
      </c>
      <c r="I45" s="215">
        <v>0.46549499999999999</v>
      </c>
      <c r="J45" s="215">
        <v>0.47895399999999999</v>
      </c>
      <c r="K45" s="215">
        <v>0.36966700000000002</v>
      </c>
      <c r="L45" s="90"/>
    </row>
    <row r="46" spans="1:12" ht="15.6" x14ac:dyDescent="0.3">
      <c r="A46" s="191" t="s">
        <v>343</v>
      </c>
      <c r="B46" s="105"/>
      <c r="C46" s="206"/>
      <c r="D46" s="372">
        <v>0.47914099999999998</v>
      </c>
      <c r="E46" s="215">
        <v>0.47486400000000001</v>
      </c>
      <c r="F46" s="215">
        <v>0.45349099999999998</v>
      </c>
      <c r="G46" s="215">
        <v>0.45349099999999998</v>
      </c>
      <c r="H46" s="215">
        <v>0.42340699999999998</v>
      </c>
      <c r="I46" s="215">
        <v>0.39217299999999999</v>
      </c>
      <c r="J46" s="215">
        <v>0.42962899999999998</v>
      </c>
      <c r="K46" s="215">
        <v>0.449156</v>
      </c>
    </row>
    <row r="47" spans="1:12" ht="15.6" x14ac:dyDescent="0.3">
      <c r="A47" s="191" t="s">
        <v>344</v>
      </c>
      <c r="B47" s="216"/>
      <c r="C47" s="206"/>
      <c r="D47" s="372">
        <v>0.98589300000000002</v>
      </c>
      <c r="E47" s="215">
        <v>0.92396699999999998</v>
      </c>
      <c r="F47" s="215">
        <v>0.96372999999999998</v>
      </c>
      <c r="G47" s="215">
        <v>0.96372999999999998</v>
      </c>
      <c r="H47" s="215">
        <v>0.95251399999999997</v>
      </c>
      <c r="I47" s="215">
        <v>0.965422</v>
      </c>
      <c r="J47" s="215">
        <v>0.99932399999999999</v>
      </c>
      <c r="K47" s="215">
        <v>0.96117300000000006</v>
      </c>
    </row>
    <row r="48" spans="1:12" ht="16.2" thickBot="1" x14ac:dyDescent="0.35">
      <c r="A48" s="209" t="s">
        <v>345</v>
      </c>
      <c r="B48" s="217"/>
      <c r="C48" s="211"/>
      <c r="D48" s="428">
        <v>2.9700000000000001E-2</v>
      </c>
      <c r="E48" s="218">
        <v>3.0197999999999999E-2</v>
      </c>
      <c r="F48" s="218">
        <v>3.0558999999999999E-2</v>
      </c>
      <c r="G48" s="218">
        <v>3.0558999999999999E-2</v>
      </c>
      <c r="H48" s="218">
        <v>2.8480999999999999E-2</v>
      </c>
      <c r="I48" s="218">
        <v>3.0110999999999999E-2</v>
      </c>
      <c r="J48" s="218">
        <v>3.0571000000000001E-2</v>
      </c>
      <c r="K48" s="218">
        <v>2.9436E-2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8"/>
  <sheetViews>
    <sheetView showGridLines="0" topLeftCell="A34" workbookViewId="0">
      <selection sqref="A1:I48"/>
    </sheetView>
  </sheetViews>
  <sheetFormatPr defaultRowHeight="13.2" x14ac:dyDescent="0.25"/>
  <cols>
    <col min="3" max="3" width="46.44140625" customWidth="1"/>
    <col min="4" max="4" width="10.77734375" style="90" customWidth="1"/>
    <col min="5" max="5" width="10.77734375" style="271" customWidth="1"/>
    <col min="6" max="6" width="9.77734375" style="271" customWidth="1"/>
    <col min="7" max="10" width="10.77734375" customWidth="1"/>
    <col min="11" max="11" width="9.77734375" style="90" customWidth="1"/>
    <col min="12" max="12" width="9.109375" bestFit="1" customWidth="1"/>
  </cols>
  <sheetData>
    <row r="1" spans="1:13" ht="17.399999999999999" x14ac:dyDescent="0.3">
      <c r="A1" s="179" t="s">
        <v>482</v>
      </c>
      <c r="B1" s="250"/>
      <c r="C1" s="202"/>
      <c r="D1" s="188"/>
      <c r="E1" s="202"/>
      <c r="F1" s="202"/>
      <c r="G1" s="188"/>
      <c r="H1" s="188"/>
      <c r="I1" s="188"/>
      <c r="J1" s="188"/>
      <c r="K1" s="188"/>
    </row>
    <row r="2" spans="1:13" ht="23.4" customHeight="1" x14ac:dyDescent="0.25">
      <c r="A2" s="205" t="s">
        <v>483</v>
      </c>
      <c r="B2" s="180"/>
      <c r="C2" s="181"/>
      <c r="D2" s="368" t="s">
        <v>492</v>
      </c>
      <c r="E2" s="366" t="s">
        <v>492</v>
      </c>
      <c r="F2" s="331" t="s">
        <v>493</v>
      </c>
      <c r="G2" s="331" t="s">
        <v>493</v>
      </c>
      <c r="H2" s="331" t="s">
        <v>493</v>
      </c>
      <c r="I2" s="331" t="s">
        <v>493</v>
      </c>
      <c r="J2" s="331" t="s">
        <v>493</v>
      </c>
      <c r="K2" s="331" t="s">
        <v>493</v>
      </c>
    </row>
    <row r="3" spans="1:13" x14ac:dyDescent="0.25">
      <c r="A3" s="184" t="s">
        <v>461</v>
      </c>
      <c r="B3" s="185"/>
      <c r="C3" s="185"/>
      <c r="D3" s="358" t="s">
        <v>534</v>
      </c>
      <c r="E3" s="350" t="s">
        <v>491</v>
      </c>
      <c r="F3" s="334" t="s">
        <v>474</v>
      </c>
      <c r="G3" s="333" t="s">
        <v>476</v>
      </c>
      <c r="H3" s="333" t="s">
        <v>454</v>
      </c>
      <c r="I3" s="333" t="s">
        <v>449</v>
      </c>
      <c r="J3" s="333" t="s">
        <v>440</v>
      </c>
      <c r="K3" s="332" t="s">
        <v>475</v>
      </c>
    </row>
    <row r="4" spans="1:13" x14ac:dyDescent="0.25">
      <c r="A4" s="188" t="s">
        <v>328</v>
      </c>
      <c r="B4" s="189"/>
      <c r="C4" s="189"/>
      <c r="D4" s="376">
        <v>222.43973700000001</v>
      </c>
      <c r="E4" s="415">
        <v>226.24720400000001</v>
      </c>
      <c r="F4" s="220">
        <v>837.443622</v>
      </c>
      <c r="G4" s="220">
        <v>228.05534599999999</v>
      </c>
      <c r="H4" s="220">
        <v>225.76885300000001</v>
      </c>
      <c r="I4" s="220">
        <v>194.322971</v>
      </c>
      <c r="J4" s="220">
        <v>189.29645199999999</v>
      </c>
      <c r="K4" s="220">
        <v>739.90846899999997</v>
      </c>
      <c r="L4" s="220"/>
      <c r="M4" s="6"/>
    </row>
    <row r="5" spans="1:13" x14ac:dyDescent="0.25">
      <c r="A5" s="190" t="s">
        <v>441</v>
      </c>
      <c r="B5" s="189"/>
      <c r="C5" s="189"/>
      <c r="D5" s="376">
        <v>31.06232</v>
      </c>
      <c r="E5" s="415">
        <v>26.237006000000001</v>
      </c>
      <c r="F5" s="220">
        <v>82.960508000000004</v>
      </c>
      <c r="G5" s="220">
        <v>26.775582</v>
      </c>
      <c r="H5" s="220">
        <v>8.1373739999999994</v>
      </c>
      <c r="I5" s="220">
        <v>23.441208</v>
      </c>
      <c r="J5" s="220">
        <v>24.606344</v>
      </c>
      <c r="K5" s="220">
        <v>91.384367999999995</v>
      </c>
      <c r="L5" s="6"/>
      <c r="M5" s="6"/>
    </row>
    <row r="6" spans="1:13" x14ac:dyDescent="0.25">
      <c r="A6" s="191" t="s">
        <v>442</v>
      </c>
      <c r="B6" s="189"/>
      <c r="C6" s="189"/>
      <c r="D6" s="376">
        <v>62.265822999999997</v>
      </c>
      <c r="E6" s="415">
        <v>58.402284999999999</v>
      </c>
      <c r="F6" s="220">
        <v>223.71401900000001</v>
      </c>
      <c r="G6" s="220">
        <v>57.492263999999999</v>
      </c>
      <c r="H6" s="220">
        <v>56.175848999999999</v>
      </c>
      <c r="I6" s="220">
        <v>57.079819999999998</v>
      </c>
      <c r="J6" s="220">
        <v>52.966085999999997</v>
      </c>
      <c r="K6" s="220">
        <v>197.97412700000001</v>
      </c>
      <c r="L6" s="6"/>
      <c r="M6" s="6"/>
    </row>
    <row r="7" spans="1:13" x14ac:dyDescent="0.25">
      <c r="A7" s="191" t="s">
        <v>443</v>
      </c>
      <c r="B7" s="189"/>
      <c r="C7" s="189"/>
      <c r="D7" s="376">
        <v>-31.203503000000001</v>
      </c>
      <c r="E7" s="415">
        <v>-32.165278999999998</v>
      </c>
      <c r="F7" s="220">
        <v>-140.753511</v>
      </c>
      <c r="G7" s="220">
        <v>-30.716681999999999</v>
      </c>
      <c r="H7" s="220">
        <v>-48.038474999999998</v>
      </c>
      <c r="I7" s="220">
        <v>-33.638612000000002</v>
      </c>
      <c r="J7" s="220">
        <v>-28.359742000000001</v>
      </c>
      <c r="K7" s="220">
        <v>-106.589759</v>
      </c>
      <c r="L7" s="6"/>
      <c r="M7" s="6"/>
    </row>
    <row r="8" spans="1:13" x14ac:dyDescent="0.25">
      <c r="A8" s="188" t="s">
        <v>444</v>
      </c>
      <c r="B8" s="189"/>
      <c r="C8" s="189"/>
      <c r="D8" s="376">
        <v>9.3330719999999996</v>
      </c>
      <c r="E8" s="415">
        <v>5.5618230000000004</v>
      </c>
      <c r="F8" s="220">
        <v>-200.97842900000001</v>
      </c>
      <c r="G8" s="220">
        <v>6.502364</v>
      </c>
      <c r="H8" s="220">
        <v>6.185702</v>
      </c>
      <c r="I8" s="220">
        <v>5.8821389999999996</v>
      </c>
      <c r="J8" s="220">
        <v>5.992076</v>
      </c>
      <c r="K8" s="220">
        <v>-175.16347200000001</v>
      </c>
      <c r="L8" s="6"/>
      <c r="M8" s="6"/>
    </row>
    <row r="9" spans="1:13" x14ac:dyDescent="0.25">
      <c r="A9" s="191" t="s">
        <v>445</v>
      </c>
      <c r="B9" s="189"/>
      <c r="C9" s="189"/>
      <c r="D9" s="376">
        <v>23.913694</v>
      </c>
      <c r="E9" s="415">
        <v>24.898627000000001</v>
      </c>
      <c r="F9" s="220">
        <v>84.787199000000001</v>
      </c>
      <c r="G9" s="220">
        <v>22.598782</v>
      </c>
      <c r="H9" s="220">
        <v>18.348120999999999</v>
      </c>
      <c r="I9" s="220">
        <v>20.796448999999999</v>
      </c>
      <c r="J9" s="220">
        <v>23.043847</v>
      </c>
      <c r="K9" s="220">
        <v>89.005095999999995</v>
      </c>
      <c r="L9" s="6"/>
      <c r="M9" s="6"/>
    </row>
    <row r="10" spans="1:13" x14ac:dyDescent="0.25">
      <c r="A10" s="191" t="s">
        <v>446</v>
      </c>
      <c r="B10" s="189"/>
      <c r="C10" s="189"/>
      <c r="D10" s="376">
        <v>-14.580622</v>
      </c>
      <c r="E10" s="415">
        <v>-19.336804000000001</v>
      </c>
      <c r="F10" s="220">
        <v>-60.224918000000002</v>
      </c>
      <c r="G10" s="220">
        <v>-16.096418</v>
      </c>
      <c r="H10" s="220">
        <v>-12.162419</v>
      </c>
      <c r="I10" s="220">
        <v>-14.91431</v>
      </c>
      <c r="J10" s="220">
        <v>-17.051770999999999</v>
      </c>
      <c r="K10" s="220">
        <v>-68.573712999999998</v>
      </c>
      <c r="L10" s="6"/>
      <c r="M10" s="6"/>
    </row>
    <row r="11" spans="1:13" x14ac:dyDescent="0.25">
      <c r="A11" s="188" t="s">
        <v>333</v>
      </c>
      <c r="B11" s="189"/>
      <c r="C11" s="189"/>
      <c r="D11" s="376">
        <v>-4.8212409999999997</v>
      </c>
      <c r="E11" s="415">
        <v>-2.1051169999999999</v>
      </c>
      <c r="F11" s="220">
        <v>9.3572989999999994</v>
      </c>
      <c r="G11" s="220">
        <v>-2.1066500000000001</v>
      </c>
      <c r="H11" s="220">
        <v>13.130989</v>
      </c>
      <c r="I11" s="220">
        <v>-0.46335799999999999</v>
      </c>
      <c r="J11" s="220">
        <v>-1.2036819999999999</v>
      </c>
      <c r="K11" s="220">
        <v>-5.8094640000000002</v>
      </c>
      <c r="L11" s="6"/>
      <c r="M11" s="6"/>
    </row>
    <row r="12" spans="1:13" x14ac:dyDescent="0.25">
      <c r="A12" s="192" t="s">
        <v>334</v>
      </c>
      <c r="B12" s="189"/>
      <c r="C12" s="193"/>
      <c r="D12" s="376">
        <v>0.13930899999999999</v>
      </c>
      <c r="E12" s="415">
        <v>2.3043999999999999E-2</v>
      </c>
      <c r="F12" s="220">
        <v>0.50276799999999999</v>
      </c>
      <c r="G12" s="220">
        <v>8.3538000000000001E-2</v>
      </c>
      <c r="H12" s="220">
        <v>0.38223499999999999</v>
      </c>
      <c r="I12" s="220">
        <v>1.328E-2</v>
      </c>
      <c r="J12" s="220">
        <v>2.3715E-2</v>
      </c>
      <c r="K12" s="220">
        <v>0.316695</v>
      </c>
      <c r="L12" s="6"/>
      <c r="M12" s="6"/>
    </row>
    <row r="13" spans="1:13" x14ac:dyDescent="0.25">
      <c r="A13" s="194" t="s">
        <v>462</v>
      </c>
      <c r="B13" s="189"/>
      <c r="C13" s="189"/>
      <c r="D13" s="376">
        <v>24.389915999999999</v>
      </c>
      <c r="E13" s="415">
        <v>17.861127</v>
      </c>
      <c r="F13" s="220">
        <v>95.416925000000006</v>
      </c>
      <c r="G13" s="220">
        <v>23.190013</v>
      </c>
      <c r="H13" s="220">
        <v>24.619572000000002</v>
      </c>
      <c r="I13" s="220">
        <v>19.264631000000001</v>
      </c>
      <c r="J13" s="220">
        <v>28.342708999999999</v>
      </c>
      <c r="K13" s="220">
        <v>89.076307</v>
      </c>
      <c r="L13" s="6"/>
      <c r="M13" s="6"/>
    </row>
    <row r="14" spans="1:13" s="90" customFormat="1" x14ac:dyDescent="0.25">
      <c r="A14" s="194" t="s">
        <v>335</v>
      </c>
      <c r="B14" s="189"/>
      <c r="C14" s="189"/>
      <c r="D14" s="376"/>
      <c r="E14" s="415"/>
      <c r="F14" s="220">
        <v>2.9898229999999999</v>
      </c>
      <c r="G14" s="220">
        <v>1.055E-2</v>
      </c>
      <c r="H14" s="220">
        <v>0.80203800000000003</v>
      </c>
      <c r="I14" s="220">
        <v>0.207953</v>
      </c>
      <c r="J14" s="220">
        <v>1.969282</v>
      </c>
      <c r="K14" s="220">
        <v>38.292377000000002</v>
      </c>
      <c r="L14" s="6"/>
      <c r="M14" s="6"/>
    </row>
    <row r="15" spans="1:13" x14ac:dyDescent="0.25">
      <c r="A15" s="188" t="s">
        <v>494</v>
      </c>
      <c r="B15" s="189"/>
      <c r="C15" s="189"/>
      <c r="D15" s="376">
        <v>-7.2020000000000001E-2</v>
      </c>
      <c r="E15" s="415">
        <v>1.2718320000000001</v>
      </c>
      <c r="L15" s="6"/>
      <c r="M15" s="6"/>
    </row>
    <row r="16" spans="1:13" x14ac:dyDescent="0.25">
      <c r="A16" s="188" t="s">
        <v>336</v>
      </c>
      <c r="B16" s="189"/>
      <c r="C16" s="189"/>
      <c r="D16" s="376">
        <v>72.888677000000001</v>
      </c>
      <c r="E16" s="415">
        <v>67.642927</v>
      </c>
      <c r="F16" s="220">
        <v>231.578711</v>
      </c>
      <c r="G16" s="220">
        <v>65.316416000000004</v>
      </c>
      <c r="H16" s="220">
        <v>64.703598999999997</v>
      </c>
      <c r="I16" s="220">
        <v>53.602578999999999</v>
      </c>
      <c r="J16" s="220">
        <v>47.956116999999999</v>
      </c>
      <c r="K16" s="220">
        <v>200.56734900000001</v>
      </c>
      <c r="L16" s="6"/>
      <c r="M16" s="6"/>
    </row>
    <row r="17" spans="1:13" x14ac:dyDescent="0.25">
      <c r="A17" s="188" t="s">
        <v>447</v>
      </c>
      <c r="B17" s="189"/>
      <c r="C17" s="189"/>
      <c r="D17" s="376">
        <v>8.3918239999999997</v>
      </c>
      <c r="E17" s="415">
        <v>7.5907679999999997</v>
      </c>
      <c r="F17" s="220">
        <v>-111.895539</v>
      </c>
      <c r="G17" s="220">
        <v>-59.831930999999997</v>
      </c>
      <c r="H17" s="220">
        <v>-56.914324999999998</v>
      </c>
      <c r="I17" s="220">
        <v>1.1492579999999999</v>
      </c>
      <c r="J17" s="220">
        <v>3.7014589999999998</v>
      </c>
      <c r="K17" s="220">
        <v>-1.133532</v>
      </c>
      <c r="L17" s="6"/>
      <c r="M17" s="6"/>
    </row>
    <row r="18" spans="1:13" x14ac:dyDescent="0.25">
      <c r="A18" s="231" t="s">
        <v>463</v>
      </c>
      <c r="B18" s="232"/>
      <c r="C18" s="232"/>
      <c r="D18" s="418">
        <v>363.75159400000001</v>
      </c>
      <c r="E18" s="416">
        <v>350.33061400000003</v>
      </c>
      <c r="F18" s="230">
        <v>1172.9163980000001</v>
      </c>
      <c r="G18" s="230">
        <v>287.995228</v>
      </c>
      <c r="H18" s="230">
        <v>286.81603699999999</v>
      </c>
      <c r="I18" s="230">
        <v>297.420661</v>
      </c>
      <c r="J18" s="230">
        <v>300.68447200000003</v>
      </c>
      <c r="K18" s="230">
        <v>1173.033952</v>
      </c>
      <c r="L18" s="6"/>
      <c r="M18" s="6"/>
    </row>
    <row r="19" spans="1:13" x14ac:dyDescent="0.25">
      <c r="A19" s="188" t="s">
        <v>303</v>
      </c>
      <c r="B19" s="197"/>
      <c r="C19" s="197"/>
      <c r="D19" s="376">
        <v>-209.15010699999999</v>
      </c>
      <c r="E19" s="415">
        <v>-252.465889</v>
      </c>
      <c r="F19" s="220">
        <v>-837.21114499999999</v>
      </c>
      <c r="G19" s="220">
        <v>-236.129614</v>
      </c>
      <c r="H19" s="220">
        <v>-205.96450899999999</v>
      </c>
      <c r="I19" s="220">
        <v>-182.65214499999999</v>
      </c>
      <c r="J19" s="220">
        <v>-212.464877</v>
      </c>
      <c r="K19" s="220">
        <v>-749.80355799999995</v>
      </c>
      <c r="L19" s="6"/>
      <c r="M19" s="6"/>
    </row>
    <row r="20" spans="1:13" x14ac:dyDescent="0.25">
      <c r="A20" s="188" t="s">
        <v>304</v>
      </c>
      <c r="B20" s="189"/>
      <c r="C20" s="189"/>
      <c r="D20" s="376">
        <v>32.771441000000003</v>
      </c>
      <c r="E20" s="415">
        <v>60.999527999999998</v>
      </c>
      <c r="F20" s="220">
        <v>189.50468799999999</v>
      </c>
      <c r="G20" s="220">
        <v>39.10624</v>
      </c>
      <c r="H20" s="220">
        <v>11.253710999999999</v>
      </c>
      <c r="I20" s="220">
        <v>91.804055000000005</v>
      </c>
      <c r="J20" s="220">
        <v>47.340682000000001</v>
      </c>
      <c r="K20" s="220">
        <v>34.007289999999998</v>
      </c>
      <c r="L20" s="6"/>
      <c r="M20" s="6"/>
    </row>
    <row r="21" spans="1:13" x14ac:dyDescent="0.25">
      <c r="A21" s="191" t="s">
        <v>530</v>
      </c>
      <c r="B21" s="189"/>
      <c r="C21" s="189"/>
      <c r="D21" s="376"/>
      <c r="E21" s="415"/>
      <c r="F21" s="220">
        <v>196.87125900000001</v>
      </c>
      <c r="G21" s="220">
        <v>44.611075999999997</v>
      </c>
      <c r="H21" s="220">
        <v>12.290981</v>
      </c>
      <c r="I21" s="220">
        <v>92.456203000000002</v>
      </c>
      <c r="J21" s="220">
        <v>47.512999000000001</v>
      </c>
      <c r="K21" s="220">
        <v>41.549700999999999</v>
      </c>
      <c r="L21" s="6"/>
      <c r="M21" s="6"/>
    </row>
    <row r="22" spans="1:13" s="90" customFormat="1" x14ac:dyDescent="0.25">
      <c r="A22" s="191" t="s">
        <v>531</v>
      </c>
      <c r="B22" s="189"/>
      <c r="C22" s="189"/>
      <c r="D22" s="376">
        <v>39.052576999999999</v>
      </c>
      <c r="E22" s="415">
        <v>60.971499999999999</v>
      </c>
      <c r="F22" s="220"/>
      <c r="G22" s="220"/>
      <c r="H22" s="220"/>
      <c r="I22" s="220"/>
      <c r="J22" s="220"/>
      <c r="K22" s="220"/>
      <c r="L22" s="6"/>
      <c r="M22" s="6"/>
    </row>
    <row r="23" spans="1:13" x14ac:dyDescent="0.25">
      <c r="A23" s="191" t="s">
        <v>532</v>
      </c>
      <c r="B23" s="189"/>
      <c r="C23" s="189"/>
      <c r="D23" s="376"/>
      <c r="E23" s="415"/>
      <c r="F23" s="220">
        <v>-0.53456400000000004</v>
      </c>
      <c r="G23" s="220">
        <v>-2.4563999999999999E-2</v>
      </c>
      <c r="H23" s="220">
        <v>-0.51</v>
      </c>
      <c r="I23" s="220">
        <v>0</v>
      </c>
      <c r="J23" s="220">
        <v>0</v>
      </c>
      <c r="K23" s="220">
        <v>-0.197325</v>
      </c>
      <c r="L23" s="6"/>
      <c r="M23" s="6"/>
    </row>
    <row r="24" spans="1:13" s="90" customFormat="1" x14ac:dyDescent="0.25">
      <c r="A24" s="191" t="s">
        <v>533</v>
      </c>
      <c r="B24" s="189"/>
      <c r="C24" s="189"/>
      <c r="D24" s="376">
        <v>-8.448E-2</v>
      </c>
      <c r="E24" s="415">
        <v>3.9278E-2</v>
      </c>
      <c r="F24" s="220"/>
      <c r="G24" s="220"/>
      <c r="H24" s="220"/>
      <c r="I24" s="220"/>
      <c r="J24" s="220"/>
      <c r="K24" s="220"/>
      <c r="L24" s="6"/>
      <c r="M24" s="6"/>
    </row>
    <row r="25" spans="1:13" x14ac:dyDescent="0.25">
      <c r="A25" s="191" t="s">
        <v>464</v>
      </c>
      <c r="B25" s="189"/>
      <c r="C25" s="189"/>
      <c r="D25" s="376">
        <v>-6.1966559999999999</v>
      </c>
      <c r="E25" s="415">
        <v>-1.125E-2</v>
      </c>
      <c r="F25" s="220">
        <v>-6.7055259999999999</v>
      </c>
      <c r="G25" s="220">
        <v>-5.3537910000000002</v>
      </c>
      <c r="H25" s="220">
        <v>-0.52727000000000002</v>
      </c>
      <c r="I25" s="220">
        <v>-0.65214799999999995</v>
      </c>
      <c r="J25" s="220">
        <v>-0.172317</v>
      </c>
      <c r="K25" s="220">
        <v>-7.3450860000000002</v>
      </c>
      <c r="L25" s="6"/>
      <c r="M25" s="6"/>
    </row>
    <row r="26" spans="1:13" x14ac:dyDescent="0.25">
      <c r="A26" s="188" t="s">
        <v>355</v>
      </c>
      <c r="B26" s="189"/>
      <c r="C26" s="193"/>
      <c r="D26" s="376">
        <v>1.2150430000000001</v>
      </c>
      <c r="E26" s="415">
        <v>1.5176259999999999</v>
      </c>
      <c r="F26" s="220">
        <v>3.7218960000000001</v>
      </c>
      <c r="G26" s="220">
        <v>9.2783000000000004E-2</v>
      </c>
      <c r="H26" s="220">
        <v>1.676623</v>
      </c>
      <c r="I26" s="220">
        <v>0.84615099999999999</v>
      </c>
      <c r="J26" s="220">
        <v>1.106339</v>
      </c>
      <c r="K26" s="220">
        <v>0</v>
      </c>
      <c r="L26" s="6"/>
      <c r="M26" s="6"/>
    </row>
    <row r="27" spans="1:13" x14ac:dyDescent="0.25">
      <c r="A27" s="233" t="s">
        <v>465</v>
      </c>
      <c r="B27" s="232"/>
      <c r="C27" s="232"/>
      <c r="D27" s="418">
        <v>188.58797100000001</v>
      </c>
      <c r="E27" s="416">
        <v>160.381879</v>
      </c>
      <c r="F27" s="230">
        <v>528.93183699999997</v>
      </c>
      <c r="G27" s="230">
        <v>91.064637000000005</v>
      </c>
      <c r="H27" s="230">
        <v>93.781862000000004</v>
      </c>
      <c r="I27" s="230">
        <v>207.418722</v>
      </c>
      <c r="J27" s="230">
        <v>136.666616</v>
      </c>
      <c r="K27" s="230">
        <v>457.237684</v>
      </c>
      <c r="L27" s="6"/>
      <c r="M27" s="6"/>
    </row>
    <row r="28" spans="1:13" x14ac:dyDescent="0.25">
      <c r="A28" s="233" t="s">
        <v>340</v>
      </c>
      <c r="B28" s="234"/>
      <c r="C28" s="234"/>
      <c r="D28" s="418">
        <v>-26.057897000000001</v>
      </c>
      <c r="E28" s="416">
        <v>-23.566668</v>
      </c>
      <c r="F28" s="230">
        <v>-84.855524000000003</v>
      </c>
      <c r="G28" s="230">
        <v>-16.996554</v>
      </c>
      <c r="H28" s="230">
        <v>-15.334587000000001</v>
      </c>
      <c r="I28" s="230">
        <v>-30.094087999999999</v>
      </c>
      <c r="J28" s="230">
        <v>-22.430295000000001</v>
      </c>
      <c r="K28" s="230">
        <v>-29.227149000000001</v>
      </c>
      <c r="L28" s="6"/>
      <c r="M28" s="6"/>
    </row>
    <row r="29" spans="1:13" x14ac:dyDescent="0.25">
      <c r="A29" s="233" t="s">
        <v>466</v>
      </c>
      <c r="B29" s="232"/>
      <c r="C29" s="232"/>
      <c r="D29" s="418">
        <v>162.53007400000001</v>
      </c>
      <c r="E29" s="416">
        <v>136.81521100000001</v>
      </c>
      <c r="F29" s="230">
        <v>444.07631300000003</v>
      </c>
      <c r="G29" s="230">
        <v>74.068083000000001</v>
      </c>
      <c r="H29" s="230">
        <v>78.447275000000005</v>
      </c>
      <c r="I29" s="230">
        <v>177.324634</v>
      </c>
      <c r="J29" s="230">
        <v>114.236321</v>
      </c>
      <c r="K29" s="230">
        <v>428.010535</v>
      </c>
      <c r="L29" s="6"/>
      <c r="M29" s="6"/>
    </row>
    <row r="30" spans="1:13" x14ac:dyDescent="0.25">
      <c r="A30" s="191" t="s">
        <v>467</v>
      </c>
      <c r="B30" s="189"/>
      <c r="C30" s="189"/>
      <c r="D30" s="376">
        <v>1.2992E-2</v>
      </c>
      <c r="E30" s="415">
        <v>1.7995000000000001E-2</v>
      </c>
      <c r="F30" s="220">
        <v>3.3519E-2</v>
      </c>
      <c r="G30" s="220">
        <v>1.4496999999999999E-2</v>
      </c>
      <c r="H30" s="220">
        <v>1.9022000000000001E-2</v>
      </c>
      <c r="I30" s="220">
        <v>0</v>
      </c>
      <c r="J30" s="220">
        <v>0</v>
      </c>
      <c r="K30" s="220">
        <v>0</v>
      </c>
      <c r="L30" s="6"/>
      <c r="M30" s="6"/>
    </row>
    <row r="31" spans="1:13" x14ac:dyDescent="0.25">
      <c r="A31" s="235" t="s">
        <v>346</v>
      </c>
      <c r="B31" s="236"/>
      <c r="C31" s="236"/>
      <c r="D31" s="419">
        <v>162.51708199999999</v>
      </c>
      <c r="E31" s="417">
        <v>136.79721599999999</v>
      </c>
      <c r="F31" s="220">
        <v>444.04279400000001</v>
      </c>
      <c r="G31" s="220">
        <v>74.053585999999996</v>
      </c>
      <c r="H31" s="220">
        <v>78.428252999999998</v>
      </c>
      <c r="I31" s="220">
        <v>177.324634</v>
      </c>
      <c r="J31" s="220">
        <v>114.236321</v>
      </c>
      <c r="K31" s="220">
        <v>428.010535</v>
      </c>
      <c r="L31" s="6"/>
      <c r="M31" s="6"/>
    </row>
    <row r="32" spans="1:13" x14ac:dyDescent="0.25">
      <c r="A32" s="237" t="s">
        <v>325</v>
      </c>
      <c r="B32" s="238"/>
      <c r="C32" s="239"/>
      <c r="D32" s="376">
        <v>152.774721</v>
      </c>
      <c r="E32" s="415">
        <v>127.49481</v>
      </c>
      <c r="F32" s="240">
        <v>415.493697</v>
      </c>
      <c r="G32" s="240">
        <v>67.558480000000003</v>
      </c>
      <c r="H32" s="240">
        <v>71.219739000000004</v>
      </c>
      <c r="I32" s="240">
        <v>171.21140500000001</v>
      </c>
      <c r="J32" s="240">
        <v>105.50407300000001</v>
      </c>
      <c r="K32" s="240">
        <v>405.978162</v>
      </c>
      <c r="L32" s="6"/>
      <c r="M32" s="6"/>
    </row>
    <row r="33" spans="1:13" ht="21" x14ac:dyDescent="0.25">
      <c r="A33" s="241" t="s">
        <v>326</v>
      </c>
      <c r="B33" s="146"/>
      <c r="C33" s="146"/>
      <c r="D33" s="419">
        <v>9.7423610000000007</v>
      </c>
      <c r="E33" s="417">
        <v>9.3024059999999995</v>
      </c>
      <c r="F33" s="242">
        <v>28.549097</v>
      </c>
      <c r="G33" s="242">
        <v>6.4951059999999998</v>
      </c>
      <c r="H33" s="242">
        <v>7.2085140000000001</v>
      </c>
      <c r="I33" s="242">
        <v>6.1132289999999996</v>
      </c>
      <c r="J33" s="242">
        <v>8.7322480000000002</v>
      </c>
      <c r="K33" s="242">
        <v>22.032373</v>
      </c>
      <c r="L33" s="6"/>
      <c r="M33" s="6"/>
    </row>
    <row r="34" spans="1:13" ht="21" x14ac:dyDescent="0.25">
      <c r="A34" s="205" t="s">
        <v>468</v>
      </c>
      <c r="B34" s="145"/>
      <c r="C34" s="206"/>
      <c r="D34" s="359"/>
      <c r="E34" s="220"/>
      <c r="F34" s="220"/>
      <c r="G34" s="220"/>
      <c r="H34" s="220"/>
      <c r="I34" s="220"/>
      <c r="J34" s="220"/>
      <c r="K34" s="220"/>
      <c r="L34" s="6"/>
      <c r="M34" s="6"/>
    </row>
    <row r="35" spans="1:13" ht="15.6" x14ac:dyDescent="0.25">
      <c r="A35" s="191" t="s">
        <v>477</v>
      </c>
      <c r="B35" s="132"/>
      <c r="C35" s="206"/>
      <c r="D35" s="376">
        <v>24336.382287</v>
      </c>
      <c r="E35" s="415">
        <v>24146.133942</v>
      </c>
      <c r="F35" s="220">
        <v>24201.316210000001</v>
      </c>
      <c r="G35" s="220">
        <v>24201.316210000001</v>
      </c>
      <c r="H35" s="220">
        <v>23871.236860000001</v>
      </c>
      <c r="I35" s="220">
        <v>23507.859812999999</v>
      </c>
      <c r="J35" s="220">
        <v>21486.669328</v>
      </c>
      <c r="K35" s="220">
        <v>21496.092178999999</v>
      </c>
      <c r="L35" s="6"/>
      <c r="M35" s="6"/>
    </row>
    <row r="36" spans="1:13" ht="15.6" x14ac:dyDescent="0.3">
      <c r="A36" s="191" t="s">
        <v>478</v>
      </c>
      <c r="B36" s="105"/>
      <c r="C36" s="206"/>
      <c r="D36" s="376">
        <v>15616.222092</v>
      </c>
      <c r="E36" s="415">
        <v>15559.121370999999</v>
      </c>
      <c r="F36" s="220">
        <v>15503.346758</v>
      </c>
      <c r="G36" s="220">
        <v>15503.346758</v>
      </c>
      <c r="H36" s="220">
        <v>14850.431876000001</v>
      </c>
      <c r="I36" s="220">
        <v>14661.131566</v>
      </c>
      <c r="J36" s="220">
        <v>14057.528335000001</v>
      </c>
      <c r="K36" s="220">
        <v>13993.205755000001</v>
      </c>
      <c r="L36" s="6"/>
      <c r="M36" s="6"/>
    </row>
    <row r="37" spans="1:13" ht="15.6" x14ac:dyDescent="0.3">
      <c r="A37" s="191" t="s">
        <v>479</v>
      </c>
      <c r="B37" s="105"/>
      <c r="C37" s="243"/>
      <c r="D37" s="376">
        <v>22693.195291</v>
      </c>
      <c r="E37" s="415">
        <v>22956.867829999999</v>
      </c>
      <c r="F37" s="220">
        <v>22662.937259999999</v>
      </c>
      <c r="G37" s="220">
        <v>22662.937259999999</v>
      </c>
      <c r="H37" s="220">
        <v>22056.413917999998</v>
      </c>
      <c r="I37" s="220">
        <v>21713.804217000001</v>
      </c>
      <c r="J37" s="220">
        <v>18538.624048999998</v>
      </c>
      <c r="K37" s="220">
        <v>18343.926265999999</v>
      </c>
      <c r="L37" s="6"/>
      <c r="M37" s="6"/>
    </row>
    <row r="38" spans="1:13" ht="21" x14ac:dyDescent="0.25">
      <c r="A38" s="244" t="s">
        <v>469</v>
      </c>
      <c r="B38" s="245"/>
      <c r="C38" s="246"/>
      <c r="D38" s="361"/>
      <c r="E38" s="240"/>
      <c r="F38" s="240"/>
      <c r="G38" s="240"/>
      <c r="H38" s="240"/>
      <c r="I38" s="240"/>
      <c r="J38" s="240"/>
      <c r="K38" s="240"/>
      <c r="L38" s="6"/>
      <c r="M38" s="6"/>
    </row>
    <row r="39" spans="1:13" ht="15.6" x14ac:dyDescent="0.3">
      <c r="A39" s="191" t="s">
        <v>470</v>
      </c>
      <c r="B39" s="105"/>
      <c r="C39" s="243"/>
      <c r="D39" s="376">
        <v>247.49270999999999</v>
      </c>
      <c r="E39" s="415">
        <v>247.746861</v>
      </c>
      <c r="F39" s="220">
        <v>212.15325300000001</v>
      </c>
      <c r="G39" s="220">
        <v>212.15325300000001</v>
      </c>
      <c r="H39" s="220">
        <v>212.12730400000001</v>
      </c>
      <c r="I39" s="220">
        <v>214.90574799999999</v>
      </c>
      <c r="J39" s="220">
        <v>220.06726699999999</v>
      </c>
      <c r="K39" s="220">
        <v>219.83329599999999</v>
      </c>
      <c r="L39" s="6"/>
      <c r="M39" s="6"/>
    </row>
    <row r="40" spans="1:13" ht="15.6" x14ac:dyDescent="0.3">
      <c r="A40" s="248" t="s">
        <v>471</v>
      </c>
      <c r="B40" s="147"/>
      <c r="C40" s="249"/>
      <c r="D40" s="419">
        <v>401.79277300000001</v>
      </c>
      <c r="E40" s="417">
        <v>422.71714700000001</v>
      </c>
      <c r="F40" s="242">
        <v>428.69709699999999</v>
      </c>
      <c r="G40" s="242">
        <v>428.69709699999999</v>
      </c>
      <c r="H40" s="242">
        <v>422.16390200000001</v>
      </c>
      <c r="I40" s="242">
        <v>419.326593</v>
      </c>
      <c r="J40" s="242">
        <v>410.67927200000003</v>
      </c>
      <c r="K40" s="242">
        <v>407.59501899999998</v>
      </c>
      <c r="L40" s="6"/>
      <c r="M40" s="6"/>
    </row>
    <row r="41" spans="1:13" ht="15.6" x14ac:dyDescent="0.3">
      <c r="A41" s="205" t="s">
        <v>472</v>
      </c>
      <c r="B41" s="97"/>
      <c r="C41" s="206"/>
      <c r="D41" s="359"/>
      <c r="E41" s="220"/>
      <c r="F41" s="220"/>
      <c r="G41" s="220"/>
      <c r="H41" s="220"/>
      <c r="I41" s="220"/>
      <c r="J41" s="220"/>
      <c r="K41" s="220"/>
      <c r="L41" s="6"/>
      <c r="M41" s="6"/>
    </row>
    <row r="42" spans="1:13" ht="15.6" x14ac:dyDescent="0.3">
      <c r="A42" s="191" t="s">
        <v>480</v>
      </c>
      <c r="B42" s="213"/>
      <c r="C42" s="214"/>
      <c r="D42" s="376">
        <v>19402.131844</v>
      </c>
      <c r="E42" s="415">
        <v>19505.934603000002</v>
      </c>
      <c r="F42" s="220">
        <v>19790.275521</v>
      </c>
      <c r="G42" s="220">
        <v>19790.275521</v>
      </c>
      <c r="H42" s="220">
        <v>19923.471827000001</v>
      </c>
      <c r="I42" s="220">
        <v>19991</v>
      </c>
      <c r="J42" s="220">
        <v>17666.835919000001</v>
      </c>
      <c r="K42" s="220">
        <v>17766.555136999999</v>
      </c>
      <c r="L42" s="6"/>
      <c r="M42" s="6"/>
    </row>
    <row r="43" spans="1:13" ht="15.6" x14ac:dyDescent="0.3">
      <c r="A43" s="191" t="s">
        <v>473</v>
      </c>
      <c r="B43" s="105"/>
      <c r="C43" s="206"/>
      <c r="D43" s="376">
        <v>98.349019999999996</v>
      </c>
      <c r="E43" s="415">
        <v>99.513178999999994</v>
      </c>
      <c r="F43" s="220">
        <v>104.27178499999999</v>
      </c>
      <c r="G43" s="220">
        <v>104.27178499999999</v>
      </c>
      <c r="H43" s="220">
        <v>96.526466999999997</v>
      </c>
      <c r="I43" s="220">
        <v>93.944991999999999</v>
      </c>
      <c r="J43" s="220">
        <v>93.282656000000003</v>
      </c>
      <c r="K43" s="220">
        <v>95.142239000000004</v>
      </c>
      <c r="L43" s="6"/>
      <c r="M43" s="6"/>
    </row>
    <row r="44" spans="1:13" ht="15.6" x14ac:dyDescent="0.3">
      <c r="A44" s="191" t="s">
        <v>327</v>
      </c>
      <c r="B44" s="105"/>
      <c r="C44" s="206"/>
      <c r="D44" s="359">
        <v>2154.9749954640001</v>
      </c>
      <c r="E44" s="415">
        <v>2167.1422469180002</v>
      </c>
      <c r="F44" s="220">
        <v>2162.4604391839998</v>
      </c>
      <c r="G44" s="220">
        <v>2162.4604391839998</v>
      </c>
      <c r="H44" s="220">
        <v>2168.5675370079998</v>
      </c>
      <c r="I44" s="220">
        <v>2172.9215685599997</v>
      </c>
      <c r="J44" s="220">
        <v>1930.6335915760001</v>
      </c>
      <c r="K44" s="220">
        <v>1854.3711604749999</v>
      </c>
      <c r="L44" s="6"/>
      <c r="M44" s="6"/>
    </row>
    <row r="45" spans="1:13" ht="15.6" x14ac:dyDescent="0.3">
      <c r="A45" s="191" t="s">
        <v>342</v>
      </c>
      <c r="B45" s="105"/>
      <c r="C45" s="206"/>
      <c r="D45" s="372">
        <v>0.29892099999999999</v>
      </c>
      <c r="E45" s="215">
        <v>0.25047700000000001</v>
      </c>
      <c r="F45" s="215">
        <v>0.178088</v>
      </c>
      <c r="G45" s="215">
        <v>0.14000000000000001</v>
      </c>
      <c r="H45" s="215">
        <v>0.15601200000000001</v>
      </c>
      <c r="I45" s="215">
        <v>0.36128500000000002</v>
      </c>
      <c r="J45" s="215">
        <v>0.22942100000000001</v>
      </c>
      <c r="K45" s="215">
        <v>0.19043199999999999</v>
      </c>
    </row>
    <row r="46" spans="1:13" ht="15.6" x14ac:dyDescent="0.3">
      <c r="A46" s="191" t="s">
        <v>343</v>
      </c>
      <c r="B46" s="105"/>
      <c r="C46" s="206"/>
      <c r="D46" s="372">
        <v>0.57572500000000004</v>
      </c>
      <c r="E46" s="215">
        <v>0.73089899999999997</v>
      </c>
      <c r="F46" s="215">
        <v>0.719781</v>
      </c>
      <c r="G46" s="215">
        <v>0.83477999999999997</v>
      </c>
      <c r="H46" s="215">
        <v>0.72466299999999995</v>
      </c>
      <c r="I46" s="215">
        <v>0.60982099999999995</v>
      </c>
      <c r="J46" s="215">
        <v>0.71559700000000004</v>
      </c>
      <c r="K46" s="215">
        <v>0.636741</v>
      </c>
    </row>
    <row r="47" spans="1:13" ht="15.6" x14ac:dyDescent="0.3">
      <c r="A47" s="191" t="s">
        <v>344</v>
      </c>
      <c r="B47" s="216"/>
      <c r="C47" s="206"/>
      <c r="D47" s="372">
        <v>0.89887399999999995</v>
      </c>
      <c r="E47" s="215">
        <v>0.86409100000000005</v>
      </c>
      <c r="F47" s="215">
        <v>0.92650299999999997</v>
      </c>
      <c r="G47" s="215">
        <v>0.94242300000000001</v>
      </c>
      <c r="H47" s="215">
        <v>0.98350099999999996</v>
      </c>
      <c r="I47" s="215">
        <v>0.93378799999999995</v>
      </c>
      <c r="J47" s="215">
        <v>0.85414599999999996</v>
      </c>
      <c r="K47" s="215">
        <v>0.93728299999999998</v>
      </c>
    </row>
    <row r="48" spans="1:13" ht="16.2" thickBot="1" x14ac:dyDescent="0.35">
      <c r="A48" s="209" t="s">
        <v>345</v>
      </c>
      <c r="B48" s="217"/>
      <c r="C48" s="211"/>
      <c r="D48" s="428">
        <v>2.8053999999999999E-2</v>
      </c>
      <c r="E48" s="218">
        <v>2.8767000000000001E-2</v>
      </c>
      <c r="F48" s="218">
        <v>2.7703999999999999E-2</v>
      </c>
      <c r="G48" s="218">
        <v>2.8368000000000001E-2</v>
      </c>
      <c r="H48" s="218">
        <v>2.8288000000000001E-2</v>
      </c>
      <c r="I48" s="218">
        <v>2.7231999999999999E-2</v>
      </c>
      <c r="J48" s="218">
        <v>2.6707999999999999E-2</v>
      </c>
      <c r="K48" s="218">
        <v>2.5461999999999999E-2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7"/>
  <sheetViews>
    <sheetView showGridLines="0" topLeftCell="A31" workbookViewId="0">
      <selection activeCell="D50" sqref="D50"/>
    </sheetView>
  </sheetViews>
  <sheetFormatPr defaultRowHeight="13.2" x14ac:dyDescent="0.25"/>
  <cols>
    <col min="3" max="3" width="42.109375" customWidth="1"/>
    <col min="4" max="5" width="10.77734375" style="271" customWidth="1"/>
    <col min="6" max="6" width="10.77734375" style="271" hidden="1" customWidth="1"/>
    <col min="7" max="7" width="10.77734375" style="271" customWidth="1"/>
    <col min="8" max="10" width="10.77734375" customWidth="1"/>
    <col min="11" max="11" width="10.77734375" style="90" customWidth="1"/>
    <col min="12" max="12" width="9.109375" bestFit="1" customWidth="1"/>
  </cols>
  <sheetData>
    <row r="1" spans="1:12" ht="17.399999999999999" x14ac:dyDescent="0.3">
      <c r="A1" s="179" t="s">
        <v>398</v>
      </c>
      <c r="B1" s="250"/>
      <c r="C1" s="202"/>
      <c r="D1" s="202"/>
      <c r="E1" s="202"/>
      <c r="F1" s="202"/>
      <c r="G1" s="202"/>
      <c r="H1" s="188"/>
      <c r="I1" s="188"/>
      <c r="J1" s="188"/>
      <c r="K1" s="188"/>
    </row>
    <row r="2" spans="1:12" ht="22.8" customHeight="1" x14ac:dyDescent="0.25">
      <c r="A2" s="205" t="s">
        <v>483</v>
      </c>
      <c r="B2" s="180"/>
      <c r="C2" s="181"/>
      <c r="D2" s="420" t="s">
        <v>492</v>
      </c>
      <c r="E2" s="373" t="s">
        <v>492</v>
      </c>
      <c r="F2" s="182" t="s">
        <v>493</v>
      </c>
      <c r="G2" s="182" t="s">
        <v>493</v>
      </c>
      <c r="H2" s="182" t="s">
        <v>493</v>
      </c>
      <c r="I2" s="182" t="s">
        <v>493</v>
      </c>
      <c r="J2" s="182" t="s">
        <v>493</v>
      </c>
      <c r="K2" s="182" t="s">
        <v>493</v>
      </c>
    </row>
    <row r="3" spans="1:12" x14ac:dyDescent="0.25">
      <c r="A3" s="184" t="s">
        <v>461</v>
      </c>
      <c r="B3" s="185"/>
      <c r="C3" s="185"/>
      <c r="D3" s="421" t="s">
        <v>534</v>
      </c>
      <c r="E3" s="272" t="s">
        <v>491</v>
      </c>
      <c r="F3" s="270" t="s">
        <v>496</v>
      </c>
      <c r="G3" s="272" t="s">
        <v>476</v>
      </c>
      <c r="H3" s="187" t="s">
        <v>454</v>
      </c>
      <c r="I3" s="187" t="s">
        <v>449</v>
      </c>
      <c r="J3" s="187" t="s">
        <v>440</v>
      </c>
      <c r="K3" s="186" t="s">
        <v>495</v>
      </c>
    </row>
    <row r="4" spans="1:12" x14ac:dyDescent="0.25">
      <c r="A4" s="188" t="s">
        <v>328</v>
      </c>
      <c r="B4" s="189"/>
      <c r="C4" s="189"/>
      <c r="D4" s="359">
        <v>59.62527</v>
      </c>
      <c r="E4" s="220">
        <v>60.787348999999999</v>
      </c>
      <c r="F4" s="220">
        <v>244.24724900000001</v>
      </c>
      <c r="G4" s="220">
        <v>63.039499999999997</v>
      </c>
      <c r="H4" s="220">
        <v>62.971532000000003</v>
      </c>
      <c r="I4" s="220">
        <v>60.253771999999998</v>
      </c>
      <c r="J4" s="220">
        <v>57.982444999999998</v>
      </c>
      <c r="K4" s="219">
        <v>231.349355</v>
      </c>
      <c r="L4" s="220"/>
    </row>
    <row r="5" spans="1:12" x14ac:dyDescent="0.25">
      <c r="A5" s="190" t="s">
        <v>441</v>
      </c>
      <c r="B5" s="189"/>
      <c r="C5" s="189"/>
      <c r="D5" s="359">
        <v>9.9820139999999995</v>
      </c>
      <c r="E5" s="220">
        <v>10.724052</v>
      </c>
      <c r="F5" s="220">
        <v>35.37811</v>
      </c>
      <c r="G5" s="220">
        <v>8.4249100000000006</v>
      </c>
      <c r="H5" s="220">
        <v>8.6984759999999994</v>
      </c>
      <c r="I5" s="220">
        <v>9.4418839999999999</v>
      </c>
      <c r="J5" s="220">
        <v>8.8128399999999996</v>
      </c>
      <c r="K5" s="219">
        <v>33.157333000000001</v>
      </c>
    </row>
    <row r="6" spans="1:12" x14ac:dyDescent="0.25">
      <c r="A6" s="191" t="s">
        <v>442</v>
      </c>
      <c r="B6" s="189"/>
      <c r="C6" s="189"/>
      <c r="D6" s="359">
        <v>27.107976000000001</v>
      </c>
      <c r="E6" s="220">
        <v>26.099864</v>
      </c>
      <c r="F6" s="220">
        <v>99.574420000000003</v>
      </c>
      <c r="G6" s="220">
        <v>25.914622999999999</v>
      </c>
      <c r="H6" s="220">
        <v>25.757083999999999</v>
      </c>
      <c r="I6" s="220">
        <v>24.626709000000002</v>
      </c>
      <c r="J6" s="220">
        <v>23.276004</v>
      </c>
      <c r="K6" s="219">
        <v>82.496701000000002</v>
      </c>
    </row>
    <row r="7" spans="1:12" x14ac:dyDescent="0.25">
      <c r="A7" s="191" t="s">
        <v>443</v>
      </c>
      <c r="B7" s="189"/>
      <c r="C7" s="189"/>
      <c r="D7" s="359">
        <v>-17.125962000000001</v>
      </c>
      <c r="E7" s="220">
        <v>-15.375812</v>
      </c>
      <c r="F7" s="220">
        <v>-64.196309999999997</v>
      </c>
      <c r="G7" s="220">
        <v>-17.489712999999998</v>
      </c>
      <c r="H7" s="220">
        <v>-17.058608</v>
      </c>
      <c r="I7" s="220">
        <v>-15.184825</v>
      </c>
      <c r="J7" s="220">
        <v>-14.463164000000001</v>
      </c>
      <c r="K7" s="219">
        <v>-49.339368</v>
      </c>
    </row>
    <row r="8" spans="1:12" x14ac:dyDescent="0.25">
      <c r="A8" s="188" t="s">
        <v>444</v>
      </c>
      <c r="B8" s="189"/>
      <c r="C8" s="189"/>
      <c r="D8" s="359">
        <v>3.2601110000000002</v>
      </c>
      <c r="E8" s="220">
        <v>1.2583219999999999</v>
      </c>
      <c r="F8" s="220">
        <v>-73.280823999999996</v>
      </c>
      <c r="G8" s="220">
        <v>2.0985860000000001</v>
      </c>
      <c r="H8" s="220">
        <v>1.8761570000000001</v>
      </c>
      <c r="I8" s="220">
        <v>1.7609250000000001</v>
      </c>
      <c r="J8" s="220">
        <v>1.678685</v>
      </c>
      <c r="K8" s="219">
        <v>-61.353639999999999</v>
      </c>
    </row>
    <row r="9" spans="1:12" x14ac:dyDescent="0.25">
      <c r="A9" s="191" t="s">
        <v>445</v>
      </c>
      <c r="B9" s="189"/>
      <c r="C9" s="189"/>
      <c r="D9" s="359">
        <v>4.1588250000000002</v>
      </c>
      <c r="E9" s="220">
        <v>4.1376160000000004</v>
      </c>
      <c r="F9" s="220">
        <v>16.498867000000001</v>
      </c>
      <c r="G9" s="220">
        <v>4.2665829999999998</v>
      </c>
      <c r="H9" s="220">
        <v>4.2186859999999999</v>
      </c>
      <c r="I9" s="220">
        <v>4.1076930000000003</v>
      </c>
      <c r="J9" s="220">
        <v>3.9059050000000002</v>
      </c>
      <c r="K9" s="219">
        <v>15.618155</v>
      </c>
    </row>
    <row r="10" spans="1:12" x14ac:dyDescent="0.25">
      <c r="A10" s="191" t="s">
        <v>446</v>
      </c>
      <c r="B10" s="189"/>
      <c r="C10" s="189"/>
      <c r="D10" s="359">
        <v>-0.89871400000000001</v>
      </c>
      <c r="E10" s="220">
        <v>-2.8792939999999998</v>
      </c>
      <c r="F10" s="220">
        <v>-9.0845140000000004</v>
      </c>
      <c r="G10" s="220">
        <v>-2.1679970000000002</v>
      </c>
      <c r="H10" s="220">
        <v>-2.3425289999999999</v>
      </c>
      <c r="I10" s="220">
        <v>-2.346768</v>
      </c>
      <c r="J10" s="220">
        <v>-2.22722</v>
      </c>
      <c r="K10" s="219">
        <v>-12.014272</v>
      </c>
    </row>
    <row r="11" spans="1:12" x14ac:dyDescent="0.25">
      <c r="A11" s="188" t="s">
        <v>333</v>
      </c>
      <c r="B11" s="189"/>
      <c r="C11" s="189"/>
      <c r="D11" s="359">
        <v>-0.51026300000000002</v>
      </c>
      <c r="E11" s="220">
        <v>-0.88665000000000005</v>
      </c>
      <c r="F11" s="220">
        <v>-1.230315</v>
      </c>
      <c r="G11" s="220">
        <v>-0.12656400000000001</v>
      </c>
      <c r="H11" s="220">
        <v>-0.49613699999999999</v>
      </c>
      <c r="I11" s="220">
        <v>-0.54145100000000002</v>
      </c>
      <c r="J11" s="220">
        <v>-6.6163E-2</v>
      </c>
      <c r="K11" s="219">
        <v>-1.9350769999999999</v>
      </c>
    </row>
    <row r="12" spans="1:12" x14ac:dyDescent="0.25">
      <c r="A12" s="192" t="s">
        <v>334</v>
      </c>
      <c r="B12" s="189"/>
      <c r="C12" s="193"/>
      <c r="D12" s="359">
        <v>1.0441000000000001E-2</v>
      </c>
      <c r="E12" s="220">
        <v>9.5090000000000001E-3</v>
      </c>
      <c r="F12" s="220">
        <v>4.4981E-2</v>
      </c>
      <c r="G12" s="220">
        <v>1.1438E-2</v>
      </c>
      <c r="H12" s="220">
        <v>7.842E-3</v>
      </c>
      <c r="I12" s="220">
        <v>8.2199999999999999E-3</v>
      </c>
      <c r="J12" s="220">
        <v>1.7481E-2</v>
      </c>
      <c r="K12" s="219">
        <v>7.4110000000000001E-3</v>
      </c>
    </row>
    <row r="13" spans="1:12" x14ac:dyDescent="0.25">
      <c r="A13" s="194" t="s">
        <v>462</v>
      </c>
      <c r="B13" s="189"/>
      <c r="C13" s="189"/>
      <c r="D13" s="359">
        <v>19.886811000000002</v>
      </c>
      <c r="E13" s="220">
        <v>13.51793</v>
      </c>
      <c r="F13" s="221">
        <v>61.893520000000002</v>
      </c>
      <c r="G13" s="221">
        <v>14.808206999999999</v>
      </c>
      <c r="H13" s="221">
        <v>14.337075</v>
      </c>
      <c r="I13" s="221">
        <v>13.820968000000001</v>
      </c>
      <c r="J13" s="221">
        <v>18.92727</v>
      </c>
      <c r="K13" s="221">
        <v>65.598613</v>
      </c>
    </row>
    <row r="14" spans="1:12" s="90" customFormat="1" x14ac:dyDescent="0.25">
      <c r="A14" s="194" t="s">
        <v>335</v>
      </c>
      <c r="B14" s="189"/>
      <c r="C14" s="189"/>
      <c r="D14" s="359"/>
      <c r="E14" s="220"/>
      <c r="F14" s="220">
        <v>1.5813429999999999</v>
      </c>
      <c r="G14" s="220">
        <v>9.8569999999999994E-3</v>
      </c>
      <c r="H14" s="220">
        <v>7.0899999999999999E-4</v>
      </c>
      <c r="I14" s="220">
        <v>0.12676899999999999</v>
      </c>
      <c r="J14" s="220">
        <v>1.444008</v>
      </c>
      <c r="K14" s="220">
        <v>18.512892999999998</v>
      </c>
    </row>
    <row r="15" spans="1:12" x14ac:dyDescent="0.25">
      <c r="A15" s="188" t="s">
        <v>494</v>
      </c>
      <c r="B15" s="189"/>
      <c r="C15" s="189"/>
      <c r="D15" s="359">
        <v>0</v>
      </c>
      <c r="E15" s="220">
        <v>0</v>
      </c>
    </row>
    <row r="16" spans="1:12" x14ac:dyDescent="0.25">
      <c r="A16" s="188" t="s">
        <v>336</v>
      </c>
      <c r="B16" s="189"/>
      <c r="C16" s="189"/>
      <c r="D16" s="359">
        <v>50.958244000000001</v>
      </c>
      <c r="E16" s="220">
        <v>46.005690999999999</v>
      </c>
      <c r="F16" s="220">
        <v>161.08315400000001</v>
      </c>
      <c r="G16" s="220">
        <v>42.715561999999998</v>
      </c>
      <c r="H16" s="220">
        <v>40.981606999999997</v>
      </c>
      <c r="I16" s="220">
        <v>40.687249000000001</v>
      </c>
      <c r="J16" s="220">
        <v>36.698735999999997</v>
      </c>
      <c r="K16" s="220">
        <v>157.0591</v>
      </c>
    </row>
    <row r="17" spans="1:12" x14ac:dyDescent="0.25">
      <c r="A17" s="188" t="s">
        <v>447</v>
      </c>
      <c r="B17" s="189"/>
      <c r="C17" s="189"/>
      <c r="D17" s="359">
        <v>6.3588089999999999</v>
      </c>
      <c r="E17" s="220">
        <v>7.3180449999999997</v>
      </c>
      <c r="F17" s="220">
        <v>3.2570549999999998</v>
      </c>
      <c r="G17" s="220">
        <v>3.0427970000000002</v>
      </c>
      <c r="H17" s="220">
        <v>0.51628200000000002</v>
      </c>
      <c r="I17" s="220">
        <v>-1.4026700000000001</v>
      </c>
      <c r="J17" s="220">
        <v>1.100646</v>
      </c>
      <c r="K17" s="220">
        <v>2.1212460000000002</v>
      </c>
    </row>
    <row r="18" spans="1:12" x14ac:dyDescent="0.25">
      <c r="A18" s="195" t="s">
        <v>463</v>
      </c>
      <c r="B18" s="196"/>
      <c r="C18" s="196"/>
      <c r="D18" s="360">
        <v>149.571437</v>
      </c>
      <c r="E18" s="230">
        <v>138.73424800000001</v>
      </c>
      <c r="F18" s="223">
        <v>513.66944999999998</v>
      </c>
      <c r="G18" s="223">
        <v>134.024293</v>
      </c>
      <c r="H18" s="223">
        <v>128.89354299999999</v>
      </c>
      <c r="I18" s="223">
        <v>124.155666</v>
      </c>
      <c r="J18" s="223">
        <v>126.59594800000001</v>
      </c>
      <c r="K18" s="222">
        <v>509.47475700000001</v>
      </c>
      <c r="L18" s="90"/>
    </row>
    <row r="19" spans="1:12" x14ac:dyDescent="0.25">
      <c r="A19" s="188" t="s">
        <v>303</v>
      </c>
      <c r="B19" s="197"/>
      <c r="C19" s="197"/>
      <c r="D19" s="359">
        <v>-79.575173000000007</v>
      </c>
      <c r="E19" s="220">
        <v>-103.28151200000001</v>
      </c>
      <c r="F19" s="220">
        <v>-345.90569900000003</v>
      </c>
      <c r="G19" s="220">
        <v>-86.316815000000005</v>
      </c>
      <c r="H19" s="220">
        <v>-81.219689000000002</v>
      </c>
      <c r="I19" s="220">
        <v>-77.191334999999995</v>
      </c>
      <c r="J19" s="220">
        <v>-101.17786</v>
      </c>
      <c r="K19" s="219">
        <v>-338.22189700000001</v>
      </c>
      <c r="L19" s="90"/>
    </row>
    <row r="20" spans="1:12" x14ac:dyDescent="0.25">
      <c r="A20" s="188" t="s">
        <v>304</v>
      </c>
      <c r="B20" s="189"/>
      <c r="C20" s="189"/>
      <c r="D20" s="359">
        <v>1.502043</v>
      </c>
      <c r="E20" s="220">
        <v>5.5576119999999998</v>
      </c>
      <c r="F20" s="220">
        <v>7.6736170000000001</v>
      </c>
      <c r="G20" s="220">
        <v>-1.063345</v>
      </c>
      <c r="H20" s="220">
        <v>-0.50997700000000001</v>
      </c>
      <c r="I20" s="220">
        <v>8.4335719999999998</v>
      </c>
      <c r="J20" s="220">
        <v>0.81336699999999995</v>
      </c>
      <c r="K20" s="219">
        <v>12.128261</v>
      </c>
      <c r="L20" s="90"/>
    </row>
    <row r="21" spans="1:12" x14ac:dyDescent="0.25">
      <c r="A21" s="191" t="s">
        <v>530</v>
      </c>
      <c r="B21" s="189"/>
      <c r="C21" s="189"/>
      <c r="D21" s="359"/>
      <c r="E21" s="220"/>
      <c r="F21" s="220">
        <v>10.852693</v>
      </c>
      <c r="G21" s="220">
        <v>1.287755</v>
      </c>
      <c r="H21" s="220">
        <v>-0.278391</v>
      </c>
      <c r="I21" s="220">
        <v>8.8654919999999997</v>
      </c>
      <c r="J21" s="220">
        <v>0.97783699999999996</v>
      </c>
      <c r="K21" s="219">
        <v>15.134634</v>
      </c>
    </row>
    <row r="22" spans="1:12" s="90" customFormat="1" x14ac:dyDescent="0.25">
      <c r="A22" s="191" t="s">
        <v>531</v>
      </c>
      <c r="B22" s="189"/>
      <c r="C22" s="189"/>
      <c r="D22" s="359">
        <v>1.6554260000000001</v>
      </c>
      <c r="E22" s="220">
        <v>5.5101490000000002</v>
      </c>
      <c r="F22" s="220"/>
      <c r="G22" s="220"/>
      <c r="H22" s="220"/>
      <c r="I22" s="220"/>
      <c r="J22" s="220"/>
      <c r="K22" s="219"/>
    </row>
    <row r="23" spans="1:12" x14ac:dyDescent="0.25">
      <c r="A23" s="191" t="s">
        <v>532</v>
      </c>
      <c r="B23" s="189"/>
      <c r="C23" s="189"/>
      <c r="D23" s="359"/>
      <c r="E23" s="220"/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19">
        <v>0</v>
      </c>
    </row>
    <row r="24" spans="1:12" s="90" customFormat="1" x14ac:dyDescent="0.25">
      <c r="A24" s="191" t="s">
        <v>533</v>
      </c>
      <c r="B24" s="189"/>
      <c r="C24" s="189"/>
      <c r="D24" s="359">
        <v>-9.2581999999999998E-2</v>
      </c>
      <c r="E24" s="220">
        <v>3.1068999999999999E-2</v>
      </c>
      <c r="F24" s="220"/>
      <c r="G24" s="220"/>
      <c r="H24" s="220"/>
      <c r="I24" s="220"/>
      <c r="J24" s="220"/>
      <c r="K24" s="219"/>
    </row>
    <row r="25" spans="1:12" x14ac:dyDescent="0.25">
      <c r="A25" s="191" t="s">
        <v>464</v>
      </c>
      <c r="B25" s="189"/>
      <c r="C25" s="189"/>
      <c r="D25" s="359">
        <v>-6.0801000000000001E-2</v>
      </c>
      <c r="E25" s="220">
        <v>1.6393999999999999E-2</v>
      </c>
      <c r="F25" s="220">
        <v>-3.1790759999999998</v>
      </c>
      <c r="G25" s="220">
        <v>-2.3511000000000002</v>
      </c>
      <c r="H25" s="220">
        <v>-0.23158599999999999</v>
      </c>
      <c r="I25" s="220">
        <v>-0.43192000000000003</v>
      </c>
      <c r="J25" s="220">
        <v>-0.16447000000000001</v>
      </c>
      <c r="K25" s="219">
        <v>-3.006373</v>
      </c>
    </row>
    <row r="26" spans="1:12" x14ac:dyDescent="0.25">
      <c r="A26" s="188" t="s">
        <v>355</v>
      </c>
      <c r="B26" s="189"/>
      <c r="C26" s="193"/>
      <c r="D26" s="359">
        <v>0</v>
      </c>
      <c r="E26" s="220">
        <v>0</v>
      </c>
      <c r="F26" s="220">
        <v>8.6943999999999994E-2</v>
      </c>
      <c r="G26" s="220">
        <v>-2.2000000000000001E-4</v>
      </c>
      <c r="H26" s="220">
        <v>2.0900000000000001E-4</v>
      </c>
      <c r="I26" s="220">
        <v>8.6955000000000005E-2</v>
      </c>
      <c r="J26" s="220">
        <v>0</v>
      </c>
      <c r="K26" s="219">
        <v>0</v>
      </c>
    </row>
    <row r="27" spans="1:12" x14ac:dyDescent="0.25">
      <c r="A27" s="198" t="s">
        <v>465</v>
      </c>
      <c r="B27" s="196"/>
      <c r="C27" s="196"/>
      <c r="D27" s="360">
        <v>71.498306999999997</v>
      </c>
      <c r="E27" s="230">
        <v>41.010348</v>
      </c>
      <c r="F27" s="223">
        <v>175.52431200000001</v>
      </c>
      <c r="G27" s="223">
        <v>46.643912999999998</v>
      </c>
      <c r="H27" s="223">
        <v>47.164085999999998</v>
      </c>
      <c r="I27" s="223">
        <v>55.484858000000003</v>
      </c>
      <c r="J27" s="223">
        <v>26.231455</v>
      </c>
      <c r="K27" s="222">
        <v>183.38112100000001</v>
      </c>
    </row>
    <row r="28" spans="1:12" x14ac:dyDescent="0.25">
      <c r="A28" s="188" t="s">
        <v>340</v>
      </c>
      <c r="B28" s="189"/>
      <c r="C28" s="189"/>
      <c r="D28" s="360">
        <v>-9.5335040000000006</v>
      </c>
      <c r="E28" s="230">
        <v>-6.8439639999999997</v>
      </c>
      <c r="F28" s="220">
        <v>-29.113802</v>
      </c>
      <c r="G28" s="220">
        <v>-7.4361059999999997</v>
      </c>
      <c r="H28" s="220">
        <v>-7.5154030000000001</v>
      </c>
      <c r="I28" s="220">
        <v>-8.0624350000000007</v>
      </c>
      <c r="J28" s="220">
        <v>-6.0998580000000002</v>
      </c>
      <c r="K28" s="219">
        <v>-53.814041000000003</v>
      </c>
    </row>
    <row r="29" spans="1:12" x14ac:dyDescent="0.25">
      <c r="A29" s="198" t="s">
        <v>466</v>
      </c>
      <c r="B29" s="196"/>
      <c r="C29" s="196"/>
      <c r="D29" s="360">
        <v>61.964803000000003</v>
      </c>
      <c r="E29" s="230">
        <v>34.166384000000001</v>
      </c>
      <c r="F29" s="223">
        <v>146.41050999999999</v>
      </c>
      <c r="G29" s="223">
        <v>39.207807000000003</v>
      </c>
      <c r="H29" s="223">
        <v>39.648682999999998</v>
      </c>
      <c r="I29" s="223">
        <v>47.422423000000002</v>
      </c>
      <c r="J29" s="223">
        <v>20.131596999999999</v>
      </c>
      <c r="K29" s="222">
        <v>129.56708</v>
      </c>
    </row>
    <row r="30" spans="1:12" x14ac:dyDescent="0.25">
      <c r="A30" s="191" t="s">
        <v>467</v>
      </c>
      <c r="B30" s="189"/>
      <c r="C30" s="189"/>
      <c r="D30" s="359">
        <v>0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19">
        <v>0</v>
      </c>
    </row>
    <row r="31" spans="1:12" x14ac:dyDescent="0.25">
      <c r="A31" s="199" t="s">
        <v>346</v>
      </c>
      <c r="B31" s="200"/>
      <c r="C31" s="200"/>
      <c r="D31" s="359">
        <v>61.964803000000003</v>
      </c>
      <c r="E31" s="220">
        <v>34.166384000000001</v>
      </c>
      <c r="F31" s="225">
        <v>146.41050999999999</v>
      </c>
      <c r="G31" s="225">
        <v>39.207807000000003</v>
      </c>
      <c r="H31" s="225">
        <v>39.648682999999998</v>
      </c>
      <c r="I31" s="225">
        <v>47.422423000000002</v>
      </c>
      <c r="J31" s="225">
        <v>20.131596999999999</v>
      </c>
      <c r="K31" s="224">
        <v>129.56708</v>
      </c>
    </row>
    <row r="32" spans="1:12" x14ac:dyDescent="0.25">
      <c r="A32" s="201" t="s">
        <v>325</v>
      </c>
      <c r="B32" s="188"/>
      <c r="C32" s="202"/>
      <c r="D32" s="361">
        <v>58.261139</v>
      </c>
      <c r="E32" s="240">
        <v>30.774076999999998</v>
      </c>
      <c r="F32" s="220">
        <v>136.98565099999999</v>
      </c>
      <c r="G32" s="220">
        <v>36.614646999999998</v>
      </c>
      <c r="H32" s="220">
        <v>37.391435000000001</v>
      </c>
      <c r="I32" s="220">
        <v>45.729925000000001</v>
      </c>
      <c r="J32" s="220">
        <v>17.249644</v>
      </c>
      <c r="K32" s="219">
        <v>120.436933</v>
      </c>
    </row>
    <row r="33" spans="1:11" ht="21.6" thickBot="1" x14ac:dyDescent="0.3">
      <c r="A33" s="203" t="s">
        <v>326</v>
      </c>
      <c r="B33" s="204"/>
      <c r="C33" s="204"/>
      <c r="D33" s="362">
        <v>3.7036639999999998</v>
      </c>
      <c r="E33" s="242">
        <v>3.3923070000000002</v>
      </c>
      <c r="F33" s="227">
        <v>9.4248589999999997</v>
      </c>
      <c r="G33" s="227">
        <v>2.5931600000000001</v>
      </c>
      <c r="H33" s="227">
        <v>2.2572480000000001</v>
      </c>
      <c r="I33" s="227">
        <v>1.6924980000000001</v>
      </c>
      <c r="J33" s="227">
        <v>2.8819530000000002</v>
      </c>
      <c r="K33" s="226">
        <v>9.1301469999999991</v>
      </c>
    </row>
    <row r="34" spans="1:11" ht="21" x14ac:dyDescent="0.25">
      <c r="A34" s="205" t="s">
        <v>468</v>
      </c>
      <c r="B34" s="145"/>
      <c r="C34" s="206"/>
      <c r="D34" s="370"/>
      <c r="E34" s="229"/>
      <c r="F34" s="273"/>
      <c r="G34" s="229"/>
      <c r="H34" s="229"/>
      <c r="I34" s="229"/>
      <c r="J34" s="229"/>
      <c r="K34" s="228"/>
    </row>
    <row r="35" spans="1:11" ht="15.6" x14ac:dyDescent="0.25">
      <c r="A35" s="191" t="s">
        <v>477</v>
      </c>
      <c r="B35" s="132"/>
      <c r="C35" s="206"/>
      <c r="D35" s="359">
        <v>4111.5846899999997</v>
      </c>
      <c r="E35" s="220">
        <v>4172.9406950000002</v>
      </c>
      <c r="F35" s="220">
        <v>4217.3281820000002</v>
      </c>
      <c r="G35" s="220">
        <v>4217.3281820000002</v>
      </c>
      <c r="H35" s="220">
        <v>4073.479722</v>
      </c>
      <c r="I35" s="220">
        <v>3892.7274769999999</v>
      </c>
      <c r="J35" s="220">
        <v>3824.7246239999999</v>
      </c>
      <c r="K35" s="220">
        <v>3801.9507669999998</v>
      </c>
    </row>
    <row r="36" spans="1:11" ht="15.6" x14ac:dyDescent="0.3">
      <c r="A36" s="191" t="s">
        <v>478</v>
      </c>
      <c r="B36" s="105"/>
      <c r="C36" s="206"/>
      <c r="D36" s="359">
        <v>1480.9769940000001</v>
      </c>
      <c r="E36" s="220">
        <v>1543.027486</v>
      </c>
      <c r="F36" s="220">
        <v>1555.83826</v>
      </c>
      <c r="G36" s="220">
        <v>1555.83826</v>
      </c>
      <c r="H36" s="220">
        <v>1531.7840389999999</v>
      </c>
      <c r="I36" s="220">
        <v>1494.392288</v>
      </c>
      <c r="J36" s="220">
        <v>1469.3566679999999</v>
      </c>
      <c r="K36" s="220">
        <v>1451.1955989999999</v>
      </c>
    </row>
    <row r="37" spans="1:11" ht="16.2" thickBot="1" x14ac:dyDescent="0.35">
      <c r="A37" s="209" t="s">
        <v>479</v>
      </c>
      <c r="B37" s="210"/>
      <c r="C37" s="211"/>
      <c r="D37" s="362">
        <v>6972.3503060000003</v>
      </c>
      <c r="E37" s="242">
        <v>7053.3558659999999</v>
      </c>
      <c r="F37" s="227">
        <v>7302.0206840000001</v>
      </c>
      <c r="G37" s="227">
        <v>7302.0206840000001</v>
      </c>
      <c r="H37" s="227">
        <v>6980.0176579999998</v>
      </c>
      <c r="I37" s="227">
        <v>6662.7304299999996</v>
      </c>
      <c r="J37" s="227">
        <v>6755.9770779999999</v>
      </c>
      <c r="K37" s="227">
        <v>6813.8461049999996</v>
      </c>
    </row>
    <row r="38" spans="1:11" ht="21" x14ac:dyDescent="0.25">
      <c r="A38" s="205" t="s">
        <v>469</v>
      </c>
      <c r="B38" s="145"/>
      <c r="C38" s="206"/>
      <c r="D38" s="369"/>
      <c r="E38" s="206"/>
      <c r="F38" s="206"/>
      <c r="G38" s="206"/>
      <c r="H38" s="206"/>
      <c r="I38" s="206"/>
      <c r="J38" s="206"/>
      <c r="K38" s="206"/>
    </row>
    <row r="39" spans="1:11" ht="15.6" x14ac:dyDescent="0.3">
      <c r="A39" s="191" t="s">
        <v>470</v>
      </c>
      <c r="B39" s="105"/>
      <c r="C39" s="206"/>
      <c r="D39" s="359">
        <v>53.898775999999998</v>
      </c>
      <c r="E39" s="220">
        <v>55.640507999999997</v>
      </c>
      <c r="F39" s="220">
        <v>55.181606000000002</v>
      </c>
      <c r="G39" s="220">
        <v>55.181606000000002</v>
      </c>
      <c r="H39" s="220">
        <v>55.155566</v>
      </c>
      <c r="I39" s="220">
        <v>54.936003999999997</v>
      </c>
      <c r="J39" s="220">
        <v>55.259369999999997</v>
      </c>
      <c r="K39" s="220">
        <v>54.891209000000003</v>
      </c>
    </row>
    <row r="40" spans="1:11" ht="16.2" thickBot="1" x14ac:dyDescent="0.35">
      <c r="A40" s="209" t="s">
        <v>471</v>
      </c>
      <c r="B40" s="210"/>
      <c r="C40" s="211"/>
      <c r="D40" s="362">
        <v>268.87842799999999</v>
      </c>
      <c r="E40" s="242">
        <v>289.342781</v>
      </c>
      <c r="F40" s="227">
        <v>297.87811900000003</v>
      </c>
      <c r="G40" s="227">
        <v>297.87811900000003</v>
      </c>
      <c r="H40" s="227">
        <v>290.94355899999999</v>
      </c>
      <c r="I40" s="227">
        <v>290.412305</v>
      </c>
      <c r="J40" s="227">
        <v>285.18958199999997</v>
      </c>
      <c r="K40" s="227">
        <v>284.13719800000001</v>
      </c>
    </row>
    <row r="41" spans="1:11" ht="15.6" x14ac:dyDescent="0.3">
      <c r="A41" s="205" t="s">
        <v>472</v>
      </c>
      <c r="B41" s="97"/>
      <c r="C41" s="206"/>
      <c r="D41" s="369"/>
      <c r="E41" s="206"/>
      <c r="F41" s="206"/>
      <c r="G41" s="206"/>
      <c r="H41" s="206"/>
      <c r="I41" s="206"/>
      <c r="J41" s="206"/>
      <c r="K41" s="212"/>
    </row>
    <row r="42" spans="1:11" ht="15.6" x14ac:dyDescent="0.3">
      <c r="A42" s="191" t="s">
        <v>480</v>
      </c>
      <c r="B42" s="213"/>
      <c r="C42" s="214"/>
      <c r="D42" s="359">
        <v>5938.2501899999997</v>
      </c>
      <c r="E42" s="220">
        <v>6102.8435170000002</v>
      </c>
      <c r="F42" s="220">
        <v>5799.4541230000004</v>
      </c>
      <c r="G42" s="220">
        <v>5799.4541230000004</v>
      </c>
      <c r="H42" s="220">
        <v>5671.0943440000001</v>
      </c>
      <c r="I42" s="220">
        <v>5379.2361970000002</v>
      </c>
      <c r="J42" s="220">
        <v>5551.0666510000001</v>
      </c>
      <c r="K42" s="220">
        <v>5717.7548779999997</v>
      </c>
    </row>
    <row r="43" spans="1:11" ht="15.6" x14ac:dyDescent="0.3">
      <c r="A43" s="191" t="s">
        <v>473</v>
      </c>
      <c r="B43" s="105"/>
      <c r="C43" s="206"/>
      <c r="D43" s="359">
        <v>35.116453999999997</v>
      </c>
      <c r="E43" s="220">
        <v>35.837592999999998</v>
      </c>
      <c r="F43" s="220">
        <v>36.599957000000003</v>
      </c>
      <c r="G43" s="220">
        <v>36.599957000000003</v>
      </c>
      <c r="H43" s="220">
        <v>35.801414000000001</v>
      </c>
      <c r="I43" s="220">
        <v>33.574807999999997</v>
      </c>
      <c r="J43" s="220">
        <v>33.571036999999997</v>
      </c>
      <c r="K43" s="220">
        <v>32.713023999999997</v>
      </c>
    </row>
    <row r="44" spans="1:11" ht="15.6" x14ac:dyDescent="0.3">
      <c r="A44" s="191" t="s">
        <v>327</v>
      </c>
      <c r="B44" s="105"/>
      <c r="C44" s="206"/>
      <c r="D44" s="359">
        <v>664.57097413999998</v>
      </c>
      <c r="E44" s="220">
        <v>682.73900580200007</v>
      </c>
      <c r="F44" s="220">
        <v>639.74318579200008</v>
      </c>
      <c r="G44" s="220">
        <v>639.74318579200008</v>
      </c>
      <c r="H44" s="220">
        <v>625.59522577600001</v>
      </c>
      <c r="I44" s="220">
        <v>593.01537248800003</v>
      </c>
      <c r="J44" s="220">
        <v>610.88196870399997</v>
      </c>
      <c r="K44" s="220">
        <v>565.62680069249996</v>
      </c>
    </row>
    <row r="45" spans="1:11" ht="15.6" x14ac:dyDescent="0.3">
      <c r="A45" s="191" t="s">
        <v>342</v>
      </c>
      <c r="B45" s="105"/>
      <c r="C45" s="206"/>
      <c r="D45" s="372">
        <v>0.37095299999999998</v>
      </c>
      <c r="E45" s="215">
        <v>0.20533499999999999</v>
      </c>
      <c r="F45" s="215">
        <v>0.238373</v>
      </c>
      <c r="G45" s="215">
        <v>0.25710499999999997</v>
      </c>
      <c r="H45" s="215">
        <v>0.25200800000000001</v>
      </c>
      <c r="I45" s="215">
        <v>0.29666799999999999</v>
      </c>
      <c r="J45" s="215">
        <v>0.122728</v>
      </c>
      <c r="K45" s="215">
        <v>0.174286</v>
      </c>
    </row>
    <row r="46" spans="1:11" ht="15.6" x14ac:dyDescent="0.3">
      <c r="A46" s="191" t="s">
        <v>343</v>
      </c>
      <c r="B46" s="105"/>
      <c r="C46" s="206"/>
      <c r="D46" s="372">
        <v>0.53196299999999996</v>
      </c>
      <c r="E46" s="215">
        <v>0.75790000000000002</v>
      </c>
      <c r="F46" s="215">
        <v>0.67590899999999998</v>
      </c>
      <c r="G46" s="215">
        <v>0.64473100000000005</v>
      </c>
      <c r="H46" s="215">
        <v>0.62941400000000003</v>
      </c>
      <c r="I46" s="215">
        <v>0.61753100000000005</v>
      </c>
      <c r="J46" s="215">
        <v>0.81424300000000005</v>
      </c>
      <c r="K46" s="215">
        <v>0.66619099999999998</v>
      </c>
    </row>
    <row r="47" spans="1:11" ht="15.6" x14ac:dyDescent="0.3">
      <c r="A47" s="248" t="s">
        <v>344</v>
      </c>
      <c r="B47" s="251"/>
      <c r="C47" s="249"/>
      <c r="D47" s="422">
        <v>0.93327499999999997</v>
      </c>
      <c r="E47" s="252">
        <v>0.83515799999999996</v>
      </c>
      <c r="F47" s="252">
        <v>0.93573600000000001</v>
      </c>
      <c r="G47" s="252">
        <v>1.011031</v>
      </c>
      <c r="H47" s="252">
        <v>0.99393600000000004</v>
      </c>
      <c r="I47" s="252">
        <v>0.92398899999999995</v>
      </c>
      <c r="J47" s="252">
        <v>0.84439200000000003</v>
      </c>
      <c r="K47" s="252">
        <v>0.92869800000000002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7"/>
  <sheetViews>
    <sheetView showGridLines="0" topLeftCell="A25" workbookViewId="0">
      <selection activeCell="E49" sqref="E49"/>
    </sheetView>
  </sheetViews>
  <sheetFormatPr defaultRowHeight="13.2" x14ac:dyDescent="0.25"/>
  <cols>
    <col min="3" max="3" width="40.77734375" customWidth="1"/>
    <col min="4" max="5" width="10.77734375" style="271" customWidth="1"/>
    <col min="6" max="6" width="10.77734375" style="271" hidden="1" customWidth="1"/>
    <col min="7" max="7" width="10.77734375" style="271" customWidth="1"/>
    <col min="8" max="10" width="10.77734375" customWidth="1"/>
    <col min="11" max="11" width="9.5546875" style="90" customWidth="1"/>
    <col min="12" max="12" width="9.109375" bestFit="1" customWidth="1"/>
  </cols>
  <sheetData>
    <row r="1" spans="1:12" ht="17.399999999999999" x14ac:dyDescent="0.3">
      <c r="A1" s="179" t="s">
        <v>397</v>
      </c>
      <c r="B1" s="250"/>
      <c r="C1" s="202"/>
      <c r="D1" s="202"/>
      <c r="E1" s="202"/>
      <c r="F1" s="202"/>
      <c r="G1" s="202"/>
      <c r="H1" s="188"/>
      <c r="I1" s="188"/>
      <c r="J1" s="188"/>
      <c r="K1" s="188"/>
    </row>
    <row r="2" spans="1:12" x14ac:dyDescent="0.25">
      <c r="A2" s="205" t="s">
        <v>483</v>
      </c>
      <c r="B2" s="180"/>
      <c r="C2" s="181"/>
      <c r="D2" s="420" t="s">
        <v>492</v>
      </c>
      <c r="E2" s="373" t="s">
        <v>492</v>
      </c>
      <c r="F2" s="182" t="s">
        <v>493</v>
      </c>
      <c r="G2" s="182" t="s">
        <v>493</v>
      </c>
      <c r="H2" s="182" t="s">
        <v>493</v>
      </c>
      <c r="I2" s="182" t="s">
        <v>493</v>
      </c>
      <c r="J2" s="182" t="s">
        <v>493</v>
      </c>
      <c r="K2" s="182" t="s">
        <v>493</v>
      </c>
    </row>
    <row r="3" spans="1:12" x14ac:dyDescent="0.25">
      <c r="A3" s="184" t="s">
        <v>461</v>
      </c>
      <c r="B3" s="185"/>
      <c r="C3" s="185"/>
      <c r="D3" s="421" t="s">
        <v>534</v>
      </c>
      <c r="E3" s="272" t="s">
        <v>491</v>
      </c>
      <c r="F3" s="270" t="s">
        <v>496</v>
      </c>
      <c r="G3" s="272" t="s">
        <v>476</v>
      </c>
      <c r="H3" s="187" t="s">
        <v>454</v>
      </c>
      <c r="I3" s="187" t="s">
        <v>449</v>
      </c>
      <c r="J3" s="187" t="s">
        <v>440</v>
      </c>
      <c r="K3" s="186" t="s">
        <v>495</v>
      </c>
    </row>
    <row r="4" spans="1:12" x14ac:dyDescent="0.25">
      <c r="A4" s="188" t="s">
        <v>328</v>
      </c>
      <c r="B4" s="189"/>
      <c r="C4" s="189"/>
      <c r="D4" s="359">
        <v>52.299774999999997</v>
      </c>
      <c r="E4" s="220">
        <v>51.709873999999999</v>
      </c>
      <c r="F4" s="220">
        <v>210.73167900000001</v>
      </c>
      <c r="G4" s="220">
        <v>52.885947999999999</v>
      </c>
      <c r="H4" s="220">
        <v>52.138381000000003</v>
      </c>
      <c r="I4" s="220">
        <v>52.767950999999996</v>
      </c>
      <c r="J4" s="220">
        <v>52.939399000000002</v>
      </c>
      <c r="K4" s="220">
        <v>216.22083599999999</v>
      </c>
      <c r="L4" s="220"/>
    </row>
    <row r="5" spans="1:12" x14ac:dyDescent="0.25">
      <c r="A5" s="190" t="s">
        <v>441</v>
      </c>
      <c r="B5" s="189"/>
      <c r="C5" s="189"/>
      <c r="D5" s="359">
        <v>6.4185140000000001</v>
      </c>
      <c r="E5" s="220">
        <v>5.5251609999999998</v>
      </c>
      <c r="F5" s="220">
        <v>24.842331999999999</v>
      </c>
      <c r="G5" s="220">
        <v>6.6276950000000001</v>
      </c>
      <c r="H5" s="220">
        <v>6.0042949999999999</v>
      </c>
      <c r="I5" s="220">
        <v>5.9365790000000001</v>
      </c>
      <c r="J5" s="220">
        <v>6.2737629999999998</v>
      </c>
      <c r="K5" s="220">
        <v>20.748557000000002</v>
      </c>
    </row>
    <row r="6" spans="1:12" x14ac:dyDescent="0.25">
      <c r="A6" s="191" t="s">
        <v>442</v>
      </c>
      <c r="B6" s="189"/>
      <c r="C6" s="189"/>
      <c r="D6" s="359">
        <v>9.8959550000000007</v>
      </c>
      <c r="E6" s="220">
        <v>9.5508299999999995</v>
      </c>
      <c r="F6" s="220">
        <v>36.441335000000002</v>
      </c>
      <c r="G6" s="220">
        <v>9.8341370000000001</v>
      </c>
      <c r="H6" s="220">
        <v>9.369256</v>
      </c>
      <c r="I6" s="220">
        <v>8.8316610000000004</v>
      </c>
      <c r="J6" s="220">
        <v>8.4062809999999999</v>
      </c>
      <c r="K6" s="220">
        <v>32.477578000000001</v>
      </c>
    </row>
    <row r="7" spans="1:12" x14ac:dyDescent="0.25">
      <c r="A7" s="191" t="s">
        <v>443</v>
      </c>
      <c r="B7" s="189"/>
      <c r="C7" s="189"/>
      <c r="D7" s="359">
        <v>-3.4774409999999998</v>
      </c>
      <c r="E7" s="220">
        <v>-4.0256689999999997</v>
      </c>
      <c r="F7" s="220">
        <v>-11.599003</v>
      </c>
      <c r="G7" s="220">
        <v>-3.206442</v>
      </c>
      <c r="H7" s="220">
        <v>-3.3649610000000001</v>
      </c>
      <c r="I7" s="220">
        <v>-2.8950819999999999</v>
      </c>
      <c r="J7" s="220">
        <v>-2.1325180000000001</v>
      </c>
      <c r="K7" s="220">
        <v>-11.729020999999999</v>
      </c>
    </row>
    <row r="8" spans="1:12" x14ac:dyDescent="0.25">
      <c r="A8" s="188" t="s">
        <v>444</v>
      </c>
      <c r="B8" s="189"/>
      <c r="C8" s="189"/>
      <c r="D8" s="359">
        <v>2.888001</v>
      </c>
      <c r="E8" s="220">
        <v>3.1812230000000001</v>
      </c>
      <c r="F8" s="220">
        <v>-48.032587999999997</v>
      </c>
      <c r="G8" s="220">
        <v>2.8025370000000001</v>
      </c>
      <c r="H8" s="220">
        <v>2.9623680000000001</v>
      </c>
      <c r="I8" s="220">
        <v>3.2070699999999999</v>
      </c>
      <c r="J8" s="220">
        <v>3.2477819999999999</v>
      </c>
      <c r="K8" s="220">
        <v>-50.698205999999999</v>
      </c>
    </row>
    <row r="9" spans="1:12" x14ac:dyDescent="0.25">
      <c r="A9" s="191" t="s">
        <v>445</v>
      </c>
      <c r="B9" s="189"/>
      <c r="C9" s="189"/>
      <c r="D9" s="359">
        <v>12.733464</v>
      </c>
      <c r="E9" s="220">
        <v>14.343161</v>
      </c>
      <c r="F9" s="220">
        <v>48.653342000000002</v>
      </c>
      <c r="G9" s="220">
        <v>12.750719</v>
      </c>
      <c r="H9" s="220">
        <v>10.380456000000001</v>
      </c>
      <c r="I9" s="220">
        <v>12.860436999999999</v>
      </c>
      <c r="J9" s="220">
        <v>12.66173</v>
      </c>
      <c r="K9" s="220">
        <v>51.362251999999998</v>
      </c>
    </row>
    <row r="10" spans="1:12" x14ac:dyDescent="0.25">
      <c r="A10" s="191" t="s">
        <v>446</v>
      </c>
      <c r="B10" s="189"/>
      <c r="C10" s="189"/>
      <c r="D10" s="359">
        <v>-9.8454630000000005</v>
      </c>
      <c r="E10" s="220">
        <v>-11.161937999999999</v>
      </c>
      <c r="F10" s="220">
        <v>-36.433585000000001</v>
      </c>
      <c r="G10" s="220">
        <v>-9.9481819999999992</v>
      </c>
      <c r="H10" s="220">
        <v>-7.418088</v>
      </c>
      <c r="I10" s="220">
        <v>-9.6533669999999994</v>
      </c>
      <c r="J10" s="220">
        <v>-9.4139479999999995</v>
      </c>
      <c r="K10" s="220">
        <v>-38.969185000000003</v>
      </c>
    </row>
    <row r="11" spans="1:12" x14ac:dyDescent="0.25">
      <c r="A11" s="188" t="s">
        <v>333</v>
      </c>
      <c r="B11" s="189"/>
      <c r="C11" s="189"/>
      <c r="D11" s="359">
        <v>-0.66758300000000004</v>
      </c>
      <c r="E11" s="220">
        <v>-0.536972</v>
      </c>
      <c r="F11" s="220">
        <v>-1.7157389999999999</v>
      </c>
      <c r="G11" s="220">
        <v>-0.51266</v>
      </c>
      <c r="H11" s="220">
        <v>-0.463702</v>
      </c>
      <c r="I11" s="220">
        <v>-0.37371399999999999</v>
      </c>
      <c r="J11" s="220">
        <v>-0.36566300000000002</v>
      </c>
      <c r="K11" s="220">
        <v>-1.3198000000000001</v>
      </c>
    </row>
    <row r="12" spans="1:12" x14ac:dyDescent="0.25">
      <c r="A12" s="192" t="s">
        <v>334</v>
      </c>
      <c r="B12" s="189"/>
      <c r="C12" s="193"/>
      <c r="D12" s="359">
        <v>2.4006E-2</v>
      </c>
      <c r="E12" s="220">
        <v>3.4320000000000002E-3</v>
      </c>
      <c r="F12" s="220">
        <v>2.0114E-2</v>
      </c>
      <c r="G12" s="220">
        <v>3.5539999999999999E-3</v>
      </c>
      <c r="H12" s="220">
        <v>8.8940000000000009E-3</v>
      </c>
      <c r="I12" s="220">
        <v>3.8140000000000001E-3</v>
      </c>
      <c r="J12" s="220">
        <v>3.852E-3</v>
      </c>
      <c r="K12" s="220">
        <v>1.2632000000000001E-2</v>
      </c>
    </row>
    <row r="13" spans="1:12" x14ac:dyDescent="0.25">
      <c r="A13" s="194" t="s">
        <v>462</v>
      </c>
      <c r="B13" s="189"/>
      <c r="C13" s="189"/>
      <c r="D13" s="359">
        <v>0.21721399999999999</v>
      </c>
      <c r="E13" s="220">
        <v>2.7151719999999999</v>
      </c>
      <c r="F13" s="220">
        <v>15.103725000000001</v>
      </c>
      <c r="G13" s="220">
        <v>3.1583960000000002</v>
      </c>
      <c r="H13" s="220">
        <v>2.9041199999999998</v>
      </c>
      <c r="I13" s="220">
        <v>5.0295329999999998</v>
      </c>
      <c r="J13" s="220">
        <v>4.0116759999999996</v>
      </c>
      <c r="K13" s="220">
        <v>15.157541</v>
      </c>
    </row>
    <row r="14" spans="1:12" s="90" customFormat="1" x14ac:dyDescent="0.25">
      <c r="A14" s="194" t="s">
        <v>335</v>
      </c>
      <c r="B14" s="189"/>
      <c r="C14" s="189"/>
      <c r="D14" s="359"/>
      <c r="E14" s="220"/>
      <c r="F14" s="220"/>
      <c r="G14" s="220">
        <v>4.4200000000000001E-4</v>
      </c>
      <c r="H14" s="220">
        <v>0</v>
      </c>
      <c r="I14" s="220">
        <v>6.7400000000000001E-4</v>
      </c>
      <c r="J14" s="220">
        <v>-1.611E-3</v>
      </c>
      <c r="K14" s="220">
        <v>16.207854999999999</v>
      </c>
    </row>
    <row r="15" spans="1:12" x14ac:dyDescent="0.25">
      <c r="A15" s="188" t="s">
        <v>494</v>
      </c>
      <c r="B15" s="189"/>
      <c r="C15" s="189"/>
      <c r="D15" s="359">
        <v>0</v>
      </c>
      <c r="E15" s="220">
        <v>-1.2067E-2</v>
      </c>
      <c r="F15" s="220">
        <v>-4.95E-4</v>
      </c>
    </row>
    <row r="16" spans="1:12" x14ac:dyDescent="0.25">
      <c r="A16" s="188" t="s">
        <v>336</v>
      </c>
      <c r="B16" s="189"/>
      <c r="C16" s="189"/>
      <c r="D16" s="359">
        <v>14.603185</v>
      </c>
      <c r="E16" s="220">
        <v>13.569183000000001</v>
      </c>
      <c r="F16" s="220">
        <v>50.6967</v>
      </c>
      <c r="G16" s="220">
        <v>13.193077000000001</v>
      </c>
      <c r="H16" s="220">
        <v>12.046504000000001</v>
      </c>
      <c r="I16" s="220">
        <v>13.318860000000001</v>
      </c>
      <c r="J16" s="220">
        <v>12.138259</v>
      </c>
      <c r="K16" s="220">
        <v>45.155951000000002</v>
      </c>
    </row>
    <row r="17" spans="1:12" x14ac:dyDescent="0.25">
      <c r="A17" s="188" t="s">
        <v>447</v>
      </c>
      <c r="B17" s="189"/>
      <c r="C17" s="189"/>
      <c r="D17" s="359">
        <v>2.4540299999999999</v>
      </c>
      <c r="E17" s="220">
        <v>1.462267</v>
      </c>
      <c r="F17" s="220">
        <v>8.0342970000000005</v>
      </c>
      <c r="G17" s="220">
        <v>2.128263</v>
      </c>
      <c r="H17" s="220">
        <v>1.5007330000000001</v>
      </c>
      <c r="I17" s="220">
        <v>2.0468609999999998</v>
      </c>
      <c r="J17" s="220">
        <v>2.3584399999999999</v>
      </c>
      <c r="K17" s="220">
        <v>5.7280119999999997</v>
      </c>
      <c r="L17" s="90"/>
    </row>
    <row r="18" spans="1:12" x14ac:dyDescent="0.25">
      <c r="A18" s="253" t="s">
        <v>463</v>
      </c>
      <c r="B18" s="254"/>
      <c r="C18" s="254"/>
      <c r="D18" s="360">
        <v>78.237142000000006</v>
      </c>
      <c r="E18" s="230">
        <v>77.617272999999997</v>
      </c>
      <c r="F18" s="274">
        <v>319.93236999999999</v>
      </c>
      <c r="G18" s="274">
        <v>80.287251999999995</v>
      </c>
      <c r="H18" s="274">
        <v>77.101592999999994</v>
      </c>
      <c r="I18" s="274">
        <v>81.937628000000004</v>
      </c>
      <c r="J18" s="274">
        <v>80.605896999999999</v>
      </c>
      <c r="K18" s="274">
        <v>330.30465099999998</v>
      </c>
      <c r="L18" s="90"/>
    </row>
    <row r="19" spans="1:12" x14ac:dyDescent="0.25">
      <c r="A19" s="188" t="s">
        <v>303</v>
      </c>
      <c r="B19" s="197"/>
      <c r="C19" s="197"/>
      <c r="D19" s="359">
        <v>-49.702613999999997</v>
      </c>
      <c r="E19" s="220">
        <v>-51.820675999999999</v>
      </c>
      <c r="F19" s="220">
        <v>-204.40447599999999</v>
      </c>
      <c r="G19" s="220">
        <v>-56.469023999999997</v>
      </c>
      <c r="H19" s="220">
        <v>-48.426267000000003</v>
      </c>
      <c r="I19" s="220">
        <v>-49.088028000000001</v>
      </c>
      <c r="J19" s="220">
        <v>-50.421157000000001</v>
      </c>
      <c r="K19" s="220">
        <v>-199.138746</v>
      </c>
      <c r="L19" s="90"/>
    </row>
    <row r="20" spans="1:12" x14ac:dyDescent="0.25">
      <c r="A20" s="188" t="s">
        <v>304</v>
      </c>
      <c r="B20" s="189"/>
      <c r="C20" s="189"/>
      <c r="D20" s="359">
        <v>-4.066344</v>
      </c>
      <c r="E20" s="220">
        <v>3.6038250000000001</v>
      </c>
      <c r="F20" s="220">
        <v>-12.596399999999999</v>
      </c>
      <c r="G20" s="220">
        <v>-3.1248719999999999</v>
      </c>
      <c r="H20" s="220">
        <v>-6.8118220000000003</v>
      </c>
      <c r="I20" s="220">
        <v>-0.75271699999999997</v>
      </c>
      <c r="J20" s="220">
        <v>-1.906989</v>
      </c>
      <c r="K20" s="220">
        <v>-15.834599000000001</v>
      </c>
      <c r="L20" s="90"/>
    </row>
    <row r="21" spans="1:12" x14ac:dyDescent="0.25">
      <c r="A21" s="191" t="s">
        <v>530</v>
      </c>
      <c r="B21" s="189"/>
      <c r="C21" s="189"/>
      <c r="D21" s="359"/>
      <c r="E21" s="220"/>
      <c r="F21" s="220">
        <v>-11.379246</v>
      </c>
      <c r="G21" s="220">
        <v>-2.377567</v>
      </c>
      <c r="H21" s="220">
        <v>-6.5657800000000002</v>
      </c>
      <c r="I21" s="220">
        <v>-0.54491000000000001</v>
      </c>
      <c r="J21" s="220">
        <v>-1.890989</v>
      </c>
      <c r="K21" s="220">
        <v>-15.396299000000001</v>
      </c>
    </row>
    <row r="22" spans="1:12" s="90" customFormat="1" x14ac:dyDescent="0.25">
      <c r="A22" s="191" t="s">
        <v>531</v>
      </c>
      <c r="B22" s="189"/>
      <c r="C22" s="189"/>
      <c r="D22" s="359">
        <v>-4.0379860000000001</v>
      </c>
      <c r="E22" s="220">
        <v>3.5904240000000001</v>
      </c>
      <c r="F22" s="220"/>
      <c r="G22" s="220"/>
      <c r="H22" s="220"/>
      <c r="I22" s="220"/>
      <c r="J22" s="220"/>
      <c r="K22" s="220"/>
    </row>
    <row r="23" spans="1:12" x14ac:dyDescent="0.25">
      <c r="A23" s="191" t="s">
        <v>532</v>
      </c>
      <c r="B23" s="189"/>
      <c r="C23" s="189"/>
      <c r="D23" s="359"/>
      <c r="E23" s="220"/>
      <c r="F23" s="220">
        <v>-2.4563999999999999E-2</v>
      </c>
      <c r="G23" s="220">
        <v>-2.4563999999999999E-2</v>
      </c>
      <c r="H23" s="220">
        <v>0</v>
      </c>
      <c r="I23" s="220">
        <v>0</v>
      </c>
      <c r="J23" s="220">
        <v>0</v>
      </c>
      <c r="K23" s="220">
        <v>-0.13086</v>
      </c>
    </row>
    <row r="24" spans="1:12" s="90" customFormat="1" x14ac:dyDescent="0.25">
      <c r="A24" s="191" t="s">
        <v>533</v>
      </c>
      <c r="B24" s="189"/>
      <c r="C24" s="189"/>
      <c r="D24" s="359">
        <v>5.0769999999999999E-3</v>
      </c>
      <c r="E24" s="220">
        <v>1.6750000000000001E-3</v>
      </c>
      <c r="F24" s="220"/>
      <c r="G24" s="220"/>
      <c r="H24" s="220"/>
      <c r="I24" s="220"/>
      <c r="J24" s="220"/>
      <c r="K24" s="220"/>
    </row>
    <row r="25" spans="1:12" x14ac:dyDescent="0.25">
      <c r="A25" s="191" t="s">
        <v>464</v>
      </c>
      <c r="B25" s="189"/>
      <c r="C25" s="189"/>
      <c r="D25" s="359">
        <v>-3.3434999999999999E-2</v>
      </c>
      <c r="E25" s="220">
        <v>1.1726E-2</v>
      </c>
      <c r="F25" s="220">
        <v>-1.19259</v>
      </c>
      <c r="G25" s="220">
        <v>-0.72274099999999997</v>
      </c>
      <c r="H25" s="220">
        <v>-0.24604200000000001</v>
      </c>
      <c r="I25" s="220">
        <v>-0.20780699999999999</v>
      </c>
      <c r="J25" s="220">
        <v>-1.6E-2</v>
      </c>
      <c r="K25" s="220">
        <v>-0.30743999999999999</v>
      </c>
    </row>
    <row r="26" spans="1:12" x14ac:dyDescent="0.25">
      <c r="A26" s="188" t="s">
        <v>355</v>
      </c>
      <c r="B26" s="189"/>
      <c r="C26" s="193"/>
      <c r="D26" s="359">
        <v>0</v>
      </c>
      <c r="E26" s="220">
        <v>0</v>
      </c>
      <c r="F26" s="220">
        <v>0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</row>
    <row r="27" spans="1:12" x14ac:dyDescent="0.25">
      <c r="A27" s="233" t="s">
        <v>465</v>
      </c>
      <c r="B27" s="232"/>
      <c r="C27" s="232"/>
      <c r="D27" s="360">
        <v>24.468184000000001</v>
      </c>
      <c r="E27" s="230">
        <v>29.400421999999999</v>
      </c>
      <c r="F27" s="230">
        <v>102.931494</v>
      </c>
      <c r="G27" s="230">
        <v>20.693356000000001</v>
      </c>
      <c r="H27" s="230">
        <v>21.863503999999999</v>
      </c>
      <c r="I27" s="230">
        <v>32.096882999999998</v>
      </c>
      <c r="J27" s="230">
        <v>28.277750999999999</v>
      </c>
      <c r="K27" s="230">
        <v>115.331306</v>
      </c>
    </row>
    <row r="28" spans="1:12" x14ac:dyDescent="0.25">
      <c r="A28" s="233" t="s">
        <v>340</v>
      </c>
      <c r="B28" s="234"/>
      <c r="C28" s="234"/>
      <c r="D28" s="360">
        <v>-5.6561979999999998</v>
      </c>
      <c r="E28" s="230">
        <v>-6.1918980000000001</v>
      </c>
      <c r="F28" s="230">
        <v>-23.799935999999999</v>
      </c>
      <c r="G28" s="230">
        <v>-4.7747310000000001</v>
      </c>
      <c r="H28" s="230">
        <v>-5.3746640000000001</v>
      </c>
      <c r="I28" s="230">
        <v>-7.4071439999999997</v>
      </c>
      <c r="J28" s="230">
        <v>-6.2433969999999999</v>
      </c>
      <c r="K28" s="230">
        <v>-23.358477000000001</v>
      </c>
    </row>
    <row r="29" spans="1:12" x14ac:dyDescent="0.25">
      <c r="A29" s="233" t="s">
        <v>466</v>
      </c>
      <c r="B29" s="232"/>
      <c r="C29" s="232"/>
      <c r="D29" s="360">
        <v>18.811986000000001</v>
      </c>
      <c r="E29" s="230">
        <v>23.208524000000001</v>
      </c>
      <c r="F29" s="230">
        <v>79.131557999999998</v>
      </c>
      <c r="G29" s="230">
        <v>15.918625</v>
      </c>
      <c r="H29" s="230">
        <v>16.48884</v>
      </c>
      <c r="I29" s="230">
        <v>24.689738999999999</v>
      </c>
      <c r="J29" s="230">
        <v>22.034354</v>
      </c>
      <c r="K29" s="230">
        <v>91.972829000000004</v>
      </c>
    </row>
    <row r="30" spans="1:12" x14ac:dyDescent="0.25">
      <c r="A30" s="191" t="s">
        <v>467</v>
      </c>
      <c r="B30" s="189"/>
      <c r="C30" s="189"/>
      <c r="D30" s="359">
        <v>0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</row>
    <row r="31" spans="1:12" x14ac:dyDescent="0.25">
      <c r="A31" s="235" t="s">
        <v>346</v>
      </c>
      <c r="B31" s="236"/>
      <c r="C31" s="236"/>
      <c r="D31" s="359">
        <v>18.811986000000001</v>
      </c>
      <c r="E31" s="220">
        <v>23.208524000000001</v>
      </c>
      <c r="F31" s="220">
        <v>79.131557999999998</v>
      </c>
      <c r="G31" s="220">
        <v>15.918625</v>
      </c>
      <c r="H31" s="220">
        <v>16.48884</v>
      </c>
      <c r="I31" s="220">
        <v>24.689738999999999</v>
      </c>
      <c r="J31" s="220">
        <v>22.034354</v>
      </c>
      <c r="K31" s="220">
        <v>91.972829000000004</v>
      </c>
    </row>
    <row r="32" spans="1:12" x14ac:dyDescent="0.25">
      <c r="A32" s="237" t="s">
        <v>325</v>
      </c>
      <c r="B32" s="238"/>
      <c r="C32" s="239"/>
      <c r="D32" s="361">
        <v>16.304976</v>
      </c>
      <c r="E32" s="240">
        <v>20.929829999999999</v>
      </c>
      <c r="F32" s="240">
        <v>69.003167000000005</v>
      </c>
      <c r="G32" s="240">
        <v>14.374324</v>
      </c>
      <c r="H32" s="240">
        <v>13.96092</v>
      </c>
      <c r="I32" s="240">
        <v>22.052844</v>
      </c>
      <c r="J32" s="240">
        <v>18.615079000000001</v>
      </c>
      <c r="K32" s="240">
        <v>82.886578999999998</v>
      </c>
    </row>
    <row r="33" spans="1:11" ht="21" x14ac:dyDescent="0.25">
      <c r="A33" s="241" t="s">
        <v>326</v>
      </c>
      <c r="B33" s="146"/>
      <c r="C33" s="146"/>
      <c r="D33" s="362">
        <v>2.5070100000000002</v>
      </c>
      <c r="E33" s="242">
        <v>2.2786940000000002</v>
      </c>
      <c r="F33" s="242">
        <v>10.128391000000001</v>
      </c>
      <c r="G33" s="242">
        <v>1.5443009999999999</v>
      </c>
      <c r="H33" s="242">
        <v>2.5279199999999999</v>
      </c>
      <c r="I33" s="242">
        <v>2.636895</v>
      </c>
      <c r="J33" s="242">
        <v>3.4192749999999998</v>
      </c>
      <c r="K33" s="242">
        <v>9.0862499999999997</v>
      </c>
    </row>
    <row r="34" spans="1:11" ht="21" x14ac:dyDescent="0.25">
      <c r="A34" s="205" t="s">
        <v>468</v>
      </c>
      <c r="B34" s="145"/>
      <c r="C34" s="206"/>
      <c r="D34" s="359"/>
      <c r="E34" s="220"/>
      <c r="F34" s="220"/>
      <c r="G34" s="220"/>
      <c r="H34" s="220"/>
      <c r="I34" s="220"/>
      <c r="J34" s="220"/>
      <c r="K34" s="220"/>
    </row>
    <row r="35" spans="1:11" ht="15.6" x14ac:dyDescent="0.25">
      <c r="A35" s="191" t="s">
        <v>477</v>
      </c>
      <c r="B35" s="132"/>
      <c r="C35" s="206"/>
      <c r="D35" s="359">
        <v>6860.7635300000002</v>
      </c>
      <c r="E35" s="220">
        <v>6639.5412409999999</v>
      </c>
      <c r="F35" s="220">
        <v>6573.5399129999996</v>
      </c>
      <c r="G35" s="220">
        <v>6573.5399129999996</v>
      </c>
      <c r="H35" s="220">
        <v>6433.9985539999998</v>
      </c>
      <c r="I35" s="220">
        <v>6283.7729920000002</v>
      </c>
      <c r="J35" s="220">
        <v>6217.4699810000002</v>
      </c>
      <c r="K35" s="220">
        <v>6094.4484169999996</v>
      </c>
    </row>
    <row r="36" spans="1:11" ht="15.6" x14ac:dyDescent="0.3">
      <c r="A36" s="191" t="s">
        <v>478</v>
      </c>
      <c r="B36" s="105"/>
      <c r="C36" s="206"/>
      <c r="D36" s="359">
        <v>3122.9728460000001</v>
      </c>
      <c r="E36" s="220">
        <v>3020.75648</v>
      </c>
      <c r="F36" s="220">
        <v>2942.8071450000002</v>
      </c>
      <c r="G36" s="220">
        <v>2942.8071450000002</v>
      </c>
      <c r="H36" s="220">
        <v>2861.3430250000001</v>
      </c>
      <c r="I36" s="220">
        <v>2770.101971</v>
      </c>
      <c r="J36" s="220">
        <v>2695.0254839999998</v>
      </c>
      <c r="K36" s="220">
        <v>2608.0458189999999</v>
      </c>
    </row>
    <row r="37" spans="1:11" ht="15.6" x14ac:dyDescent="0.3">
      <c r="A37" s="248" t="s">
        <v>479</v>
      </c>
      <c r="B37" s="147"/>
      <c r="C37" s="249"/>
      <c r="D37" s="362">
        <v>6205.2701820000002</v>
      </c>
      <c r="E37" s="242">
        <v>6258.8324910000001</v>
      </c>
      <c r="F37" s="242">
        <v>6065.7762659999999</v>
      </c>
      <c r="G37" s="242">
        <v>6065.7762659999999</v>
      </c>
      <c r="H37" s="242">
        <v>5714.1500669999996</v>
      </c>
      <c r="I37" s="242">
        <v>5819.6511129999999</v>
      </c>
      <c r="J37" s="242">
        <v>5745.1150820000003</v>
      </c>
      <c r="K37" s="242">
        <v>5739.4511490000004</v>
      </c>
    </row>
    <row r="38" spans="1:11" ht="21" x14ac:dyDescent="0.25">
      <c r="A38" s="205" t="s">
        <v>469</v>
      </c>
      <c r="B38" s="145"/>
      <c r="C38" s="206"/>
      <c r="D38" s="359"/>
      <c r="E38" s="220"/>
      <c r="F38" s="220"/>
      <c r="G38" s="220"/>
      <c r="H38" s="220"/>
      <c r="I38" s="220"/>
      <c r="J38" s="220"/>
      <c r="K38" s="220"/>
    </row>
    <row r="39" spans="1:11" ht="15.6" x14ac:dyDescent="0.3">
      <c r="A39" s="191" t="s">
        <v>470</v>
      </c>
      <c r="B39" s="105"/>
      <c r="C39" s="206"/>
      <c r="D39" s="359">
        <v>114.372471</v>
      </c>
      <c r="E39" s="220">
        <v>113.748752</v>
      </c>
      <c r="F39" s="220">
        <v>113.596756</v>
      </c>
      <c r="G39" s="220">
        <v>113.596756</v>
      </c>
      <c r="H39" s="220">
        <v>113.371618</v>
      </c>
      <c r="I39" s="220">
        <v>112.851674</v>
      </c>
      <c r="J39" s="220">
        <v>112.990365</v>
      </c>
      <c r="K39" s="220">
        <v>116.07924800000001</v>
      </c>
    </row>
    <row r="40" spans="1:11" ht="15.6" x14ac:dyDescent="0.3">
      <c r="A40" s="248" t="s">
        <v>471</v>
      </c>
      <c r="B40" s="147"/>
      <c r="C40" s="249"/>
      <c r="D40" s="362">
        <v>115.507891</v>
      </c>
      <c r="E40" s="242">
        <v>120.648842</v>
      </c>
      <c r="F40" s="242">
        <v>123.84852100000001</v>
      </c>
      <c r="G40" s="242">
        <v>123.84852100000001</v>
      </c>
      <c r="H40" s="242">
        <v>125.738456</v>
      </c>
      <c r="I40" s="242">
        <v>125.233464</v>
      </c>
      <c r="J40" s="242">
        <v>122.846518</v>
      </c>
      <c r="K40" s="242">
        <v>121.835852</v>
      </c>
    </row>
    <row r="41" spans="1:11" ht="15.6" x14ac:dyDescent="0.3">
      <c r="A41" s="205" t="s">
        <v>472</v>
      </c>
      <c r="B41" s="97"/>
      <c r="C41" s="206"/>
      <c r="D41" s="359"/>
      <c r="E41" s="220"/>
      <c r="F41" s="220"/>
      <c r="G41" s="220"/>
      <c r="H41" s="220"/>
      <c r="I41" s="220"/>
      <c r="J41" s="220"/>
      <c r="K41" s="220"/>
    </row>
    <row r="42" spans="1:11" ht="15.6" x14ac:dyDescent="0.3">
      <c r="A42" s="191" t="s">
        <v>480</v>
      </c>
      <c r="B42" s="213"/>
      <c r="C42" s="214"/>
      <c r="D42" s="359">
        <v>4921.7428710000004</v>
      </c>
      <c r="E42" s="220">
        <v>4911.0991739999999</v>
      </c>
      <c r="F42" s="220">
        <v>4908.2273830000004</v>
      </c>
      <c r="G42" s="220">
        <v>4908.2273830000004</v>
      </c>
      <c r="H42" s="220">
        <v>4826.4957029999996</v>
      </c>
      <c r="I42" s="220">
        <v>4910.4123719999998</v>
      </c>
      <c r="J42" s="220">
        <v>4715.8876890000001</v>
      </c>
      <c r="K42" s="220">
        <v>4720.7331400000003</v>
      </c>
    </row>
    <row r="43" spans="1:11" ht="15.6" x14ac:dyDescent="0.3">
      <c r="A43" s="191" t="s">
        <v>473</v>
      </c>
      <c r="B43" s="105"/>
      <c r="C43" s="206"/>
      <c r="D43" s="359">
        <v>24.782771</v>
      </c>
      <c r="E43" s="220">
        <v>26.974093</v>
      </c>
      <c r="F43" s="220">
        <v>26.207915</v>
      </c>
      <c r="G43" s="220">
        <v>26.207915</v>
      </c>
      <c r="H43" s="220">
        <v>23.089247</v>
      </c>
      <c r="I43" s="220">
        <v>23.403582</v>
      </c>
      <c r="J43" s="220">
        <v>22.687076000000001</v>
      </c>
      <c r="K43" s="220">
        <v>23.450709</v>
      </c>
    </row>
    <row r="44" spans="1:11" ht="15.6" x14ac:dyDescent="0.3">
      <c r="A44" s="191" t="s">
        <v>327</v>
      </c>
      <c r="B44" s="105"/>
      <c r="C44" s="206"/>
      <c r="D44" s="359">
        <v>546.48751532599999</v>
      </c>
      <c r="E44" s="220">
        <v>547.55060544399998</v>
      </c>
      <c r="F44" s="220">
        <v>536.66356283200003</v>
      </c>
      <c r="G44" s="220">
        <v>536.66356283200003</v>
      </c>
      <c r="H44" s="220">
        <v>525.04480011199996</v>
      </c>
      <c r="I44" s="220">
        <v>534.08646868799997</v>
      </c>
      <c r="J44" s="220">
        <v>513.13939565600003</v>
      </c>
      <c r="K44" s="220">
        <v>498.57055123500004</v>
      </c>
    </row>
    <row r="45" spans="1:11" ht="15.6" x14ac:dyDescent="0.3">
      <c r="A45" s="191" t="s">
        <v>342</v>
      </c>
      <c r="B45" s="105"/>
      <c r="C45" s="206"/>
      <c r="D45" s="423">
        <v>0.13760500000000001</v>
      </c>
      <c r="E45" s="255">
        <v>0.16971</v>
      </c>
      <c r="F45" s="255">
        <v>0.15168899999999999</v>
      </c>
      <c r="G45" s="255">
        <v>0.122059</v>
      </c>
      <c r="H45" s="255">
        <v>0.12806600000000001</v>
      </c>
      <c r="I45" s="255">
        <v>0.194302</v>
      </c>
      <c r="J45" s="255">
        <v>0.174729</v>
      </c>
      <c r="K45" s="255">
        <v>0.169379</v>
      </c>
    </row>
    <row r="46" spans="1:11" ht="15.6" x14ac:dyDescent="0.3">
      <c r="A46" s="191" t="s">
        <v>343</v>
      </c>
      <c r="B46" s="105"/>
      <c r="C46" s="206"/>
      <c r="D46" s="423">
        <v>0.64328300000000005</v>
      </c>
      <c r="E46" s="255">
        <v>0.67451899999999998</v>
      </c>
      <c r="F46" s="255">
        <v>0.64472399999999996</v>
      </c>
      <c r="G46" s="255">
        <v>0.70262400000000003</v>
      </c>
      <c r="H46" s="255">
        <v>0.63506300000000004</v>
      </c>
      <c r="I46" s="255">
        <v>0.60162899999999997</v>
      </c>
      <c r="J46" s="255">
        <v>0.63994399999999996</v>
      </c>
      <c r="K46" s="255">
        <v>0.60289700000000002</v>
      </c>
    </row>
    <row r="47" spans="1:11" ht="15" x14ac:dyDescent="0.25">
      <c r="A47" s="248" t="s">
        <v>344</v>
      </c>
      <c r="B47" s="251"/>
      <c r="C47" s="249"/>
      <c r="D47" s="424">
        <v>0.81704699999999997</v>
      </c>
      <c r="E47" s="256">
        <v>0.86516800000000005</v>
      </c>
      <c r="F47" s="256">
        <v>0.82126299999999997</v>
      </c>
      <c r="G47" s="256">
        <v>0.88048199999999999</v>
      </c>
      <c r="H47" s="256">
        <v>0.85061500000000001</v>
      </c>
      <c r="I47" s="256">
        <v>0.81676899999999997</v>
      </c>
      <c r="J47" s="256">
        <v>0.72825200000000001</v>
      </c>
      <c r="K47" s="256">
        <v>0.88887099999999997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144</vt:i4>
      </vt:variant>
    </vt:vector>
  </HeadingPairs>
  <TitlesOfParts>
    <vt:vector size="158" baseType="lpstr">
      <vt:lpstr>Read Me AppMgt</vt:lpstr>
      <vt:lpstr>Parameters</vt:lpstr>
      <vt:lpstr>LocalLists</vt:lpstr>
      <vt:lpstr>KBC Group_PL</vt:lpstr>
      <vt:lpstr>BU BELGIUM</vt:lpstr>
      <vt:lpstr>BU CZECH REPUBLIC</vt:lpstr>
      <vt:lpstr>BU INTERNATIONAL MARKETS</vt:lpstr>
      <vt:lpstr>HUNGARY</vt:lpstr>
      <vt:lpstr>SLOVAKIA</vt:lpstr>
      <vt:lpstr>BULGARIA</vt:lpstr>
      <vt:lpstr>IRELAND</vt:lpstr>
      <vt:lpstr>GROUP CENTRE</vt:lpstr>
      <vt:lpstr>RISK Management</vt:lpstr>
      <vt:lpstr>Sheet1</vt:lpstr>
      <vt:lpstr>Account_I</vt:lpstr>
      <vt:lpstr>Account_P</vt:lpstr>
      <vt:lpstr>Account_T</vt:lpstr>
      <vt:lpstr>AccountExt_V</vt:lpstr>
      <vt:lpstr>Actuality_APC_P</vt:lpstr>
      <vt:lpstr>Actuality_I</vt:lpstr>
      <vt:lpstr>Actuality_P</vt:lpstr>
      <vt:lpstr>Actuality_T</vt:lpstr>
      <vt:lpstr>ActualityExt_V</vt:lpstr>
      <vt:lpstr>ActualityPrev_P</vt:lpstr>
      <vt:lpstr>APC_Cube_P</vt:lpstr>
      <vt:lpstr>APC_Server_P</vt:lpstr>
      <vt:lpstr>attribname_p</vt:lpstr>
      <vt:lpstr>BalansEntity</vt:lpstr>
      <vt:lpstr>BaseCube_I</vt:lpstr>
      <vt:lpstr>BaseCube_P</vt:lpstr>
      <vt:lpstr>BaseCube_T</vt:lpstr>
      <vt:lpstr>BaseCubeExt_P</vt:lpstr>
      <vt:lpstr>BuSelection</vt:lpstr>
      <vt:lpstr>Choice_P</vt:lpstr>
      <vt:lpstr>ClosingVersion_I</vt:lpstr>
      <vt:lpstr>ClosingVersion_P</vt:lpstr>
      <vt:lpstr>ClosingVersion_T</vt:lpstr>
      <vt:lpstr>ClosingVersionExt_V</vt:lpstr>
      <vt:lpstr>Company_I</vt:lpstr>
      <vt:lpstr>Company_P</vt:lpstr>
      <vt:lpstr>Company_T</vt:lpstr>
      <vt:lpstr>CompanyExt_V</vt:lpstr>
      <vt:lpstr>CompanyGrouping_I</vt:lpstr>
      <vt:lpstr>CompanyGrouping_P</vt:lpstr>
      <vt:lpstr>CompanyGrouping_T</vt:lpstr>
      <vt:lpstr>CompanyGroupingExt_V</vt:lpstr>
      <vt:lpstr>CompanyName_P</vt:lpstr>
      <vt:lpstr>CompanyName_T</vt:lpstr>
      <vt:lpstr>CompanySelection</vt:lpstr>
      <vt:lpstr>CompGroup_GRS</vt:lpstr>
      <vt:lpstr>ConsolidationPerspective_I</vt:lpstr>
      <vt:lpstr>ConsolidationPerspective_P</vt:lpstr>
      <vt:lpstr>ConsolidationPerspective_T</vt:lpstr>
      <vt:lpstr>ConsolidationPerspectiveExt_V</vt:lpstr>
      <vt:lpstr>ContributionVersion_I</vt:lpstr>
      <vt:lpstr>ContributionVersion_P</vt:lpstr>
      <vt:lpstr>ContributionVersion_T</vt:lpstr>
      <vt:lpstr>ContributionVersionExt_V</vt:lpstr>
      <vt:lpstr>CounterCompany_I</vt:lpstr>
      <vt:lpstr>CounterCompany_P</vt:lpstr>
      <vt:lpstr>CounterCompany_T</vt:lpstr>
      <vt:lpstr>CounterCompanyExt_V</vt:lpstr>
      <vt:lpstr>CounterDimension_I</vt:lpstr>
      <vt:lpstr>CounterDimension_P</vt:lpstr>
      <vt:lpstr>CounterDimension_T</vt:lpstr>
      <vt:lpstr>CounterDimensionExt_V</vt:lpstr>
      <vt:lpstr>Cube_P</vt:lpstr>
      <vt:lpstr>CubeAct_P</vt:lpstr>
      <vt:lpstr>CubePrev_P</vt:lpstr>
      <vt:lpstr>Currencies_UserForm_List</vt:lpstr>
      <vt:lpstr>Currency_I</vt:lpstr>
      <vt:lpstr>Currency_P</vt:lpstr>
      <vt:lpstr>Currency_T</vt:lpstr>
      <vt:lpstr>CurrencyAndUnit_I</vt:lpstr>
      <vt:lpstr>CurrencyAndUnit_P</vt:lpstr>
      <vt:lpstr>CurrencyAndUnit_T</vt:lpstr>
      <vt:lpstr>CurrencyExt_V</vt:lpstr>
      <vt:lpstr>CurrencyInput_P</vt:lpstr>
      <vt:lpstr>Dim1_I</vt:lpstr>
      <vt:lpstr>Dim1_P</vt:lpstr>
      <vt:lpstr>Dim1_T</vt:lpstr>
      <vt:lpstr>Dim1Ext_V</vt:lpstr>
      <vt:lpstr>Dim2_I</vt:lpstr>
      <vt:lpstr>Dim2_P</vt:lpstr>
      <vt:lpstr>Dim2_T</vt:lpstr>
      <vt:lpstr>Dim2Ext_V</vt:lpstr>
      <vt:lpstr>Dim3_I</vt:lpstr>
      <vt:lpstr>Dim3_P</vt:lpstr>
      <vt:lpstr>Dim3_T</vt:lpstr>
      <vt:lpstr>Dim3Ext_V</vt:lpstr>
      <vt:lpstr>Dim4_I</vt:lpstr>
      <vt:lpstr>Dim4_P</vt:lpstr>
      <vt:lpstr>Dim4_T</vt:lpstr>
      <vt:lpstr>Dim4Ext_V</vt:lpstr>
      <vt:lpstr>EntitySelection</vt:lpstr>
      <vt:lpstr>Filler1_I</vt:lpstr>
      <vt:lpstr>Filler1_P</vt:lpstr>
      <vt:lpstr>Filler1_T</vt:lpstr>
      <vt:lpstr>Filler1Ext_V</vt:lpstr>
      <vt:lpstr>Filler2_I</vt:lpstr>
      <vt:lpstr>Filler2_P</vt:lpstr>
      <vt:lpstr>Filler2_T</vt:lpstr>
      <vt:lpstr>Filler2Ext_V</vt:lpstr>
      <vt:lpstr>Filler3_I</vt:lpstr>
      <vt:lpstr>Filler3_P</vt:lpstr>
      <vt:lpstr>Filler3_T</vt:lpstr>
      <vt:lpstr>Filler3Ext_V</vt:lpstr>
      <vt:lpstr>FrozenCubeInd_I</vt:lpstr>
      <vt:lpstr>FrozenCubeInd_P</vt:lpstr>
      <vt:lpstr>FrozenCubeInd_T</vt:lpstr>
      <vt:lpstr>JournalNumber_I</vt:lpstr>
      <vt:lpstr>JournalNumber_P</vt:lpstr>
      <vt:lpstr>JournalNumber_T</vt:lpstr>
      <vt:lpstr>JournalNumberExt_V</vt:lpstr>
      <vt:lpstr>LijstUnderlying</vt:lpstr>
      <vt:lpstr>LocalCurrency_P</vt:lpstr>
      <vt:lpstr>LocalCurrency_T</vt:lpstr>
      <vt:lpstr>Measure_I</vt:lpstr>
      <vt:lpstr>Measure_P</vt:lpstr>
      <vt:lpstr>Measure_T</vt:lpstr>
      <vt:lpstr>MeasureExt_V</vt:lpstr>
      <vt:lpstr>OriginCompany_I</vt:lpstr>
      <vt:lpstr>OriginCompany_P</vt:lpstr>
      <vt:lpstr>OriginCompany_T</vt:lpstr>
      <vt:lpstr>OriginCompanyExt_V</vt:lpstr>
      <vt:lpstr>Period_P</vt:lpstr>
      <vt:lpstr>PeriodDD_I</vt:lpstr>
      <vt:lpstr>PeriodDD_P</vt:lpstr>
      <vt:lpstr>PeriodScope_I</vt:lpstr>
      <vt:lpstr>PeriodScope_P</vt:lpstr>
      <vt:lpstr>PeriodScope_T</vt:lpstr>
      <vt:lpstr>QESRun_P</vt:lpstr>
      <vt:lpstr>QESRunInput_P</vt:lpstr>
      <vt:lpstr>QESRunPrev_P</vt:lpstr>
      <vt:lpstr>QESRunPrevInput_P</vt:lpstr>
      <vt:lpstr>Quarter_P</vt:lpstr>
      <vt:lpstr>QuarterPrev_P</vt:lpstr>
      <vt:lpstr>ReportVersion_P</vt:lpstr>
      <vt:lpstr>scenario</vt:lpstr>
      <vt:lpstr>Server_I</vt:lpstr>
      <vt:lpstr>Server_P</vt:lpstr>
      <vt:lpstr>Server_T</vt:lpstr>
      <vt:lpstr>ServerCube</vt:lpstr>
      <vt:lpstr>SubgroupSelection</vt:lpstr>
      <vt:lpstr>TM1User_P</vt:lpstr>
      <vt:lpstr>TransactionCurrency_I</vt:lpstr>
      <vt:lpstr>TransactionCurrency_P</vt:lpstr>
      <vt:lpstr>TransactionCurrency_T</vt:lpstr>
      <vt:lpstr>TransactionCurrencyExt_V</vt:lpstr>
      <vt:lpstr>TrueFalse_List</vt:lpstr>
      <vt:lpstr>UnitNumber_I</vt:lpstr>
      <vt:lpstr>UnitNumber_P</vt:lpstr>
      <vt:lpstr>UnitNumber_T</vt:lpstr>
      <vt:lpstr>UnitText_I</vt:lpstr>
      <vt:lpstr>UnitText_P</vt:lpstr>
      <vt:lpstr>UnitText_T</vt:lpstr>
      <vt:lpstr>Version_P</vt:lpstr>
      <vt:lpstr>VersionPrev_P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Luyten</dc:creator>
  <cp:lastModifiedBy>Agneesens Dominique</cp:lastModifiedBy>
  <cp:lastPrinted>2015-01-06T11:19:00Z</cp:lastPrinted>
  <dcterms:created xsi:type="dcterms:W3CDTF">2012-01-19T12:57:14Z</dcterms:created>
  <dcterms:modified xsi:type="dcterms:W3CDTF">2018-08-07T13:29:14Z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1d4fc-10ca-495b-a9ef-03e0e34333ce_Enabled">
    <vt:lpwstr>True</vt:lpwstr>
  </property>
  <property fmtid="{D5CDD505-2E9C-101B-9397-08002B2CF9AE}" pid="3" name="MSIP_Label_fa11d4fc-10ca-495b-a9ef-03e0e34333ce_SiteId">
    <vt:lpwstr>64af2aee-7d6c-49ac-a409-192d3fee73b8</vt:lpwstr>
  </property>
  <property fmtid="{D5CDD505-2E9C-101B-9397-08002B2CF9AE}" pid="4" name="MSIP_Label_fa11d4fc-10ca-495b-a9ef-03e0e34333ce_Ref">
    <vt:lpwstr>https://api.informationprotection.azure.com/api/64af2aee-7d6c-49ac-a409-192d3fee73b8</vt:lpwstr>
  </property>
  <property fmtid="{D5CDD505-2E9C-101B-9397-08002B2CF9AE}" pid="5" name="MSIP_Label_fa11d4fc-10ca-495b-a9ef-03e0e34333ce_Owner">
    <vt:lpwstr>U41459@KBC-GROUP.COM</vt:lpwstr>
  </property>
  <property fmtid="{D5CDD505-2E9C-101B-9397-08002B2CF9AE}" pid="6" name="MSIP_Label_fa11d4fc-10ca-495b-a9ef-03e0e34333ce_SetDate">
    <vt:lpwstr>2017-11-07T08:51:00.3275309+01:00</vt:lpwstr>
  </property>
  <property fmtid="{D5CDD505-2E9C-101B-9397-08002B2CF9AE}" pid="7" name="MSIP_Label_fa11d4fc-10ca-495b-a9ef-03e0e34333ce_Name">
    <vt:lpwstr>Internal</vt:lpwstr>
  </property>
  <property fmtid="{D5CDD505-2E9C-101B-9397-08002B2CF9AE}" pid="8" name="MSIP_Label_fa11d4fc-10ca-495b-a9ef-03e0e34333ce_Application">
    <vt:lpwstr>Microsoft Azure Information Protection</vt:lpwstr>
  </property>
  <property fmtid="{D5CDD505-2E9C-101B-9397-08002B2CF9AE}" pid="9" name="MSIP_Label_fa11d4fc-10ca-495b-a9ef-03e0e34333ce_Extended_MSFT_Method">
    <vt:lpwstr>Automatic</vt:lpwstr>
  </property>
  <property fmtid="{D5CDD505-2E9C-101B-9397-08002B2CF9AE}" pid="10" name="Sensitivity">
    <vt:lpwstr>Internal</vt:lpwstr>
  </property>
</Properties>
</file>